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 RU\Hospitals\GME\SFY24\"/>
    </mc:Choice>
  </mc:AlternateContent>
  <xr:revisionPtr revIDLastSave="0" documentId="8_{69663700-CA42-4336-B060-46B2B367467D}" xr6:coauthVersionLast="47" xr6:coauthVersionMax="47" xr10:uidLastSave="{00000000-0000-0000-0000-000000000000}"/>
  <bookViews>
    <workbookView xWindow="-120" yWindow="-120" windowWidth="29040" windowHeight="17520" tabRatio="792" xr2:uid="{00000000-000D-0000-FFFF-FFFF00000000}"/>
  </bookViews>
  <sheets>
    <sheet name="Summary" sheetId="19" r:id="rId1"/>
  </sheets>
  <externalReferences>
    <externalReference r:id="rId2"/>
    <externalReference r:id="rId3"/>
    <externalReference r:id="rId4"/>
  </externalReferences>
  <definedNames>
    <definedName name="AdditionalDSH">[1]AdditionalPool!$B$9:$M$15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FindCounty">[2]BaseMedicaid!$M$4:$Q$103</definedName>
    <definedName name="HOSP">#REF!</definedName>
    <definedName name="HOSPGAP">'[3]UPL Model'!$O$12:$O$300</definedName>
    <definedName name="HOSPITALGRP">'[3]UPL Model'!$A$12:$A$300</definedName>
    <definedName name="HOSPTYPE">#REF!</definedName>
    <definedName name="IPNPData">#REF!</definedName>
    <definedName name="Payment" localSheetId="0">Summary!$D$17:$N$25</definedName>
    <definedName name="Payment">#REF!</definedName>
    <definedName name="PMTSANNLZD">'[3]UPL Model'!$N$12:$N$300</definedName>
    <definedName name="ServiceDate">[3]Lookup!$I$2:$I$5</definedName>
    <definedName name="UPLMOD">'[3]UPL Model'!$A$12:$O$350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9" l="1"/>
  <c r="O16" i="19"/>
  <c r="D12" i="19"/>
  <c r="D7" i="19" s="1"/>
  <c r="E7" i="19" s="1"/>
  <c r="N11" i="19"/>
  <c r="M11" i="19"/>
  <c r="K11" i="19"/>
  <c r="N9" i="19"/>
  <c r="M9" i="19"/>
  <c r="K9" i="19"/>
  <c r="N7" i="19"/>
  <c r="M7" i="19"/>
  <c r="K7" i="19"/>
  <c r="K6" i="19"/>
  <c r="N3" i="19"/>
  <c r="M3" i="19"/>
  <c r="K3" i="19"/>
  <c r="K2" i="19"/>
  <c r="D6" i="19" l="1"/>
  <c r="E6" i="19" s="1"/>
  <c r="D8" i="19"/>
  <c r="E8" i="19" s="1"/>
  <c r="D9" i="19"/>
  <c r="H6" i="19" l="1"/>
  <c r="H7" i="19" l="1"/>
  <c r="J18" i="19" s="1"/>
  <c r="E9" i="19"/>
  <c r="G9" i="19" s="1"/>
  <c r="F9" i="19"/>
  <c r="H9" i="19" s="1"/>
  <c r="N21" i="19" s="1"/>
  <c r="H8" i="19"/>
  <c r="H25" i="19"/>
  <c r="H23" i="19"/>
  <c r="H19" i="19"/>
  <c r="H17" i="19"/>
  <c r="H18" i="19"/>
  <c r="H20" i="19"/>
  <c r="H22" i="19"/>
  <c r="H24" i="19"/>
  <c r="H21" i="19"/>
  <c r="L18" i="19" l="1"/>
  <c r="L25" i="19"/>
  <c r="L24" i="19"/>
  <c r="L21" i="19"/>
  <c r="L19" i="19"/>
  <c r="L23" i="19"/>
  <c r="J21" i="19"/>
  <c r="J25" i="19"/>
  <c r="J19" i="19"/>
  <c r="J24" i="19"/>
  <c r="J22" i="19"/>
  <c r="J17" i="19"/>
  <c r="J20" i="19"/>
  <c r="J23" i="19"/>
  <c r="L20" i="19"/>
  <c r="L22" i="19"/>
  <c r="F12" i="19"/>
  <c r="L17" i="19"/>
  <c r="G6" i="19"/>
  <c r="G22" i="19" s="1"/>
  <c r="H26" i="19"/>
  <c r="G8" i="19"/>
  <c r="K20" i="19" s="1"/>
  <c r="G7" i="19"/>
  <c r="I23" i="19" s="1"/>
  <c r="N25" i="19"/>
  <c r="H12" i="19"/>
  <c r="N18" i="19"/>
  <c r="N20" i="19"/>
  <c r="M20" i="19"/>
  <c r="M22" i="19"/>
  <c r="M19" i="19"/>
  <c r="M24" i="19"/>
  <c r="N24" i="19"/>
  <c r="N17" i="19"/>
  <c r="N23" i="19"/>
  <c r="M21" i="19"/>
  <c r="M18" i="19"/>
  <c r="N22" i="19"/>
  <c r="I9" i="19"/>
  <c r="M23" i="19"/>
  <c r="N19" i="19"/>
  <c r="M17" i="19"/>
  <c r="M25" i="19"/>
  <c r="I8" i="19" l="1"/>
  <c r="L26" i="19"/>
  <c r="J26" i="19"/>
  <c r="E12" i="19"/>
  <c r="I7" i="19"/>
  <c r="I6" i="19"/>
  <c r="N26" i="19"/>
  <c r="M26" i="19"/>
  <c r="G25" i="19"/>
  <c r="K17" i="19"/>
  <c r="I22" i="19"/>
  <c r="I20" i="19"/>
  <c r="G18" i="19"/>
  <c r="I25" i="19"/>
  <c r="G23" i="19"/>
  <c r="I19" i="19"/>
  <c r="G17" i="19"/>
  <c r="G24" i="19"/>
  <c r="I24" i="19"/>
  <c r="K25" i="19"/>
  <c r="G21" i="19"/>
  <c r="I18" i="19"/>
  <c r="K21" i="19"/>
  <c r="I17" i="19"/>
  <c r="K22" i="19"/>
  <c r="I21" i="19"/>
  <c r="K18" i="19"/>
  <c r="K19" i="19"/>
  <c r="G12" i="19"/>
  <c r="I12" i="19" s="1"/>
  <c r="F18" i="19" s="1"/>
  <c r="K24" i="19"/>
  <c r="K23" i="19"/>
  <c r="G19" i="19"/>
  <c r="G20" i="19"/>
  <c r="O22" i="19" l="1"/>
  <c r="O21" i="19"/>
  <c r="O18" i="19"/>
  <c r="K26" i="19"/>
  <c r="O25" i="19"/>
  <c r="O24" i="19"/>
  <c r="O19" i="19"/>
  <c r="I26" i="19"/>
  <c r="O20" i="19"/>
  <c r="G26" i="19"/>
  <c r="O23" i="19"/>
  <c r="O17" i="19"/>
  <c r="F20" i="19"/>
  <c r="F24" i="19"/>
  <c r="F17" i="19"/>
  <c r="F22" i="19"/>
  <c r="F19" i="19"/>
  <c r="F23" i="19"/>
  <c r="F21" i="19"/>
  <c r="F25" i="19"/>
  <c r="O26" i="19" l="1"/>
  <c r="F26" i="1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DMHF-DW-EXD" type="1" refreshedVersion="8" saveData="1">
    <dbPr connection="DSN=DMHF-DW-EXD;UID=mashby;DBQ=EXADW;DBA=W;APA=T;EXC=F;FEN=T;QTO=T;FRC=10;FDL=10;LOB=T;RST=T;BTD=F;BNF=F;BAM=IfAllSuccessful;NUM=NLS;DPM=F;MTS=T;MDI=F;CSR=F;FWC=F;FBS=64000;TLO=O;MLD=0;ODA=F;STE=F;TSZ=8192;AST=FLOAT;LPS=8192;" command="With Dates as (SELECT DATE '2018-07-01' as myStartDate, DATE '2022-06-30' as myEndDate from Dual)    --end Dates_x000d__x000a_--_x0009_(select myStartDate from Dates)_x000d__x000a_--_x0009_(select myEndDate from Dates)_x000d__x000a__x000d__x000a_SELECT_x000d__x000a_    LTAC.ServiceEndSFY,_x000d__x000a__x0009_LTAC.YYYYMM,_x000d__x000a_--    LTAC.RevCode,_x000d__x000a__x0009_LTAC.ProviderID, _x000d__x000a__x0009_LTAC.ProviderName, _x000d__x000a__x0009_LTAC.PlanName,_x000d__x000a__x0009_LTAC.Crossover,_x000d__x000a__x0009_LTAC.Category,_x000d__x000a__x0009_LTAC.PlaceofService,_x000d__x000a__x0009_LTAC.DataType,_x000d__x000a__x0009_LTAC.ProviderCountyCd,_x000d__x000a__x0009_LTAC.CalcDays,_x000d__x000a__x0009_LTAC.Discharges,_x000d__x000a__x0009_LTAC.Charges,_x000d__x000a__x0009_LTAC.Paid_x000d__x000a_From_x000d__x000a_(_x000d__x000a__x000d__x000a_SELECT _x000d__x000a_    hcfprodviews.ClaimHeaderV.TCN,_x000d__x000a__x0009_(CASE_x000d__x000a__x0009__x0009_WHEN EXTRACT (MONTH FROM hcfprodviews.ClaimHeaderV.ServiceEndDate) &lt;=6  THEN EXTRACT (YEAR FROM hcfprodviews.ClaimHeaderV.ServiceEndDate) _x000d__x000a__x0009__x0009_ELSE EXTRACT (YEAR FROM hcfprodviews.ClaimHeaderV.ServiceEndDate) + 1 _x000d__x000a__x0009_end) AS ServiceEndSFY,_x000d__x000a__x0009_TO_CHAR(hcfprodviews.ClaimHeaderV.ServiceEndDate, 'YYYY-MM') AS YYYYMM,_x000d__x000a_--    hcfprodviews.ClaimDetailLinesV.RevenueCd AS RevCode,_x000d__x000a__x0009_hcfprodviews.ClaimHeaderV.ProviderID, _x000d__x000a__x0009_TRIM(hcfprodviews.ClaimHeaderV.ProviderName) AS ProviderName, _x000d__x000a__x0009_CAST('' AS CHAR(50)) AS PlanName,_x000d__x000a__x0009_CASE_x000d__x000a__x0009__x0009_WHEN hcfprodviews.ClaimHeaderV.ClaimInputMediumInd NOT IN ('p',  'x',  'y', 'z') THEN 'N'_x000d__x000a__x0009__x0009_ELSE 'Y'_x000d__x000a__x0009_end AS Crossover,_x000d__x000a__x0009_Case_x000d__x000a__x0009__x0009_When hcfprodviews.ClaimHeaderV.RecipientAidCategory in ('IB2', 'IC1', 'IB1', 'ID5', 'IF4', 'IA3', 'ID4', 'IC2', 'IP1', 'IF5', 'ID2', 'ID1', 'IA1', _x000d__x000a__x0009__x0009__x0009_'ID3', 'IPC', 'IPF', 'I18', 'IF1', 'IA2', 'IF8', 'IFP', 'IF7', 'IF2', 'ICF', 'IF9', 'IF6', 'IF3') Then 'Emergency Only'_x000d__x000a__x0009__x0009_When hcfprodviews.ClaimHeaderV.RecipientAidCategory = 'BYB' then 'Baby Your Baby'_x000d__x000a__x0009__x0009_When hcfprodviews.ClaimHeaderV.RecipientAidCategory in ('CI1', 'CI2', 'CI3', 'CI5','CI7','CI9','CIP') then 'CHIP'_x000d__x000a__x0009__x0009_When hcfprodviews.ClaimHeaderV.RecipientAidCategory in ('CI4','CI6','CI8') then 'Utah Premium Partnership'_x000d__x000a_        When hcfprodviews.ClaimHeaderV.RecipientAidCategory in ('A37','Q37','A42','A43','A44','Q42','Q43','Q44','E01','E02','E03','E04','E05','E06','E07','E08','E09','E0A','EE1','EE2','EE3','EFA','EFB','EFC','EFD','EFE','EFF','EFG','EFH','EN1','EN2','EN3','EN4','EN5','EN6','EN7','EN8','EP1','EP2','EP3','EP4','ES3','ES4','ES5','ES6','ES7','ES8','ES9','ESA') then 'Expansion'_x000d__x000a__x0009__x0009_else 'Other'_x000d__x000a__x0009_End as Category,_x000d__x000a__x0009_'  ' as PlaceofService,_x000d__x000a__x0009_'FFS      ' AS DataType,_x000d__x000a_    case_x000d__x000a_    _x0009__x0009_WHEN hcfprodviews.ClaimHeaderV.ProviderCountyCd &lt; 30 THEN 'In-State'_x000d__x000a_            WHEN hcfprodviews.ClaimHeaderV.ProviderCountyCd = 30 THEN 'Out-of-State'_x000d__x000a_            else 'Unknown'_x000d__x000a_            end as ProviderCountyCd,_x000d__x000a_--_x0009_hcfprodviews.ClaimHeaderV.ProviderCountyCd,_x000d__x000a__x0009_--Calculates days for LTAC instead of using total days_x000d__x000a__x0009_Avg(_x000d__x000a__x0009__x0009_CASE_x000d__x000a__x0009__x0009__x0009_WHEN hcfprodviews.ClaimHeaderV.ProviderId IN ('943430659001','203800889001', '203800889003', '942854057314', '942854057324', '942854057007', '870257692000', '300703582001') THEN (hcfprodviews.ClaimHeaderV.ServiceEndDate - hcfprodviews.ClaimHeaderV.ServiceBeginDate) _x000d__x000a__x0009__x0009__x0009_ELSE hcfprodviews.ClaimHeaderV.TotalDays_x000d__x000a__x0009__x0009_End) AS CalcDays,_x000d__x000a__x0009_Cast (COUNT (DISTINCT hcfprodviews.ClaimHeaderV.TCN) as decimal(6,0))AS Discharges,_x000d__x000a__x0009_Cast(Sum(hcfprodviews.ClaimDetailLinesV.SubmittedLineCharge)as decimal(12,2)) as Charges,_x000d__x000a__x0009_Cast(Avg(hcfprodviews.ClaimHeaderV.ReimbursementAmount) as decimal(12,2)) as Paid_x000d__x000a__x0009__x000d__x000a_FROM _x000d__x000a__x0009_hcfprodviews.ClaimHeaderV _x000d__x000a_Inner Join_x000d__x000a_    hcfprodviews.ClaimDetailLinesV_x000d__x000a_On hcfprodviews.ClaimHeaderV.TCN = hcfprodviews.ClaimDetailLinesV.TCN _x000d__x000a_    --and hcfprodviews.ClaimHeaderV.RecordCode in ('60','61','63')_x000d__x000a__x000d__x000a_Where _x000d__x000a_    hcfprodviews.ClaimHeaderV.ServiceEndDate BETWEEN (select myStartDate from Dates) AND (select myEndDate from Dates) AND _x000d__x000a_    hcfprodviews.ClaimHeaderV.ClaimStatus = 'm' AND _x000d__x000a__x0009_hcfprodviews.ClaimHeaderV.AccountingCd IN ('0', '2', '3', 'a', 'b', 'c', 'd', 'e', 'f') AND_x000d__x000a__x0009_hcfprodviews.ClaimHeaderV.ReimbursementAmount &gt;0 AND_x000d__x000a__x0009_hcfprodviews.ClaimHeaderV.FinalClaimInd = 'y' AND _x000d__x000a__x0009_hcfprodviews.ClaimDetailLinesV.AllowedChargeSource NOT IN ('k', 'n', '1', 'u', 'x', 'y', 'z', '4') AND_x000d__x000a__x0009_hcfprodviews.ClaimHeaderV.ProviderCountyCd &lt;&gt; '30' AND _x000d__x000a_    hcfprodviews.ClaimDetailLinesV.CPT4 = '0760'_x000d__x000a_    _x000d__x000a__x0009__x000d__x000a_GROUP BY_x000d__x000a_    hcfprodviews.ClaimHeaderV.TCN,_x000d__x000a__x0009_(CASE_x000d__x000a__x0009__x0009_WHEN EXTRACT (MONTH FROM hcfprodviews.ClaimHeaderV.ServiceEndDate) &lt;=6  THEN EXTRACT (YEAR FROM hcfprodviews.ClaimHeaderV.ServiceEndDate) _x000d__x000a__x0009__x0009_ELSE EXTRACT (YEAR FROM hcfprodviews.ClaimHeaderV.ServiceEndDate) + 1 _x000d__x000a__x0009_end),_x000d__x000a__x0009_TO_CHAR(hcfprodviews.ClaimHeaderV.ServiceEndDate, 'YYYY-MM'),_x000d__x000a_--    hcfprodviews.ClaimDetailLinesV.RevenueCd,_x000d__x000a__x0009_hcfprodviews.ClaimHeaderV.ProviderID, _x000d__x000a__x0009_hcfprodviews.ClaimHeaderV.ProviderName,_x000d__x000a__x0009_CAST('' AS CHAR(50)) ,_x000d__x000a__x0009_CASE_x000d__x000a__x0009__x0009_WHEN hcfprodviews.ClaimHeaderV.ClaimInputMediumInd NOT IN ('p',  'x',  'y', 'z') THEN 'N'_x000d__x000a__x0009__x0009_ELSE 'Y'_x000d__x000a__x0009_end,_x000d__x000a__x0009_Case_x000d__x000a__x0009__x0009_When hcfprodviews.ClaimHeaderV.RecipientAidCategory in ('IB2', 'IC1', 'IB1', 'ID5', 'IF4', 'IA3', 'ID4', 'IC2', 'IP1', 'IF5', 'ID2', 'ID1', 'IA1', _x000d__x000a__x0009__x0009__x0009_'ID3', 'IPC', 'IPF', 'I18', 'IF1', 'IA2', 'IF8', 'IFP', 'IF7', 'IF2', 'ICF', 'IF9', 'IF6', 'IF3') Then 'Emergency Only'_x000d__x000a__x0009__x0009_When hcfprodviews.ClaimHeaderV.RecipientAidCategory = 'BYB' then 'Baby Your Baby'_x000d__x000a__x0009__x0009_When hcfprodviews.ClaimHeaderV.RecipientAidCategory in ('CI1', 'CI2', 'CI3', 'CI5','CI7','CI9','CIP') then 'CHIP'_x000d__x000a__x0009__x0009_When hcfprodviews.ClaimHeaderV.RecipientAidCategory in ('CI4','CI6','CI8') then 'Utah Premium Partnership'_x000d__x000a_        When hcfprodviews.ClaimHeaderV.RecipientAidCategory in ('A37','Q37','A42','A43','A44','Q42','Q43','Q44','E01','E02','E03','E04','E05','E06','E07','E08','E09','E0A','EE1','EE2','EE3','EFA','EFB','EFC','EFD','EFE','EFF','EFG','EFH','EN1','EN2','EN3','EN4','EN5','EN6','EN7','EN8','EP1','EP2','EP3','EP4','ES3','ES4','ES5','ES6','ES7','ES8','ES9','ESA') then 'Expansion'_x000d__x000a__x0009__x0009_else 'Other'_x000d__x000a__x0009_End,_x000d__x000a__x0009_'  ' ,_x000d__x000a__x0009_'FFS      ',_x000d__x000a_        case_x000d__x000a_    _x0009__x0009_WHEN hcfprodviews.ClaimHeaderV.ProviderCountyCd &lt; 30 THEN 'In-State'_x000d__x000a_            WHEN hcfprodviews.ClaimHeaderV.ProviderCountyCd = 30 THEN 'Out-of-State'_x000d__x000a_            else 'Unknown'_x000d__x000a_            end_x000d__x000a_--_x0009_hcfprodviews.ClaimHeaderV.ProviderCountyCd_x000d__x000a_)LTAC_x000d__x000a_    _x000d__x000a__x000d__x000a__x000d__x000a_UNION ALL_x000d__x000a__x000d__x000a__x000d__x000a__x000d__x000a__x000d__x000a__x000d__x000a_SELECT_x000d__x000a_    vwcalc.ServiceEndSFY,_x000d__x000a__x0009_vwcalc.YYYYMM,_x000d__x000a_--    vwCalc.RevCode,_x000d__x000a__x0009_vwcalc.ProviderID, _x000d__x000a__x0009_vwcalc.ProviderName, _x000d__x000a__x0009_vwcalc.PlanName,_x000d__x000a__x0009_vwcalc.Crossover,_x000d__x000a__x0009_vwcalc.Category,_x000d__x000a__x0009_vwcalc.PlaceofService,_x000d__x000a__x0009_vwcalc.DataType,_x000d__x000a__x0009_vwcalc.ProviderCountyCd,_x000d__x000a__x0009_vwcalc.CalcDays,_x000d__x000a__x0009_vwcalc.Discharges,_x000d__x000a__x0009_vwcalc.Charges,_x000d__x000a__x0009_vwcalc.Paid_x000d__x000a_From_x000d__x000a_(_x000d__x000a__x000d__x000a_SELECT _x000d__x000a_    hcfprodviews.ClaimHeaderV.TCN,_x000d__x000a__x0009_(CASE_x000d__x000a__x0009__x0009_WHEN EXTRACT (MONTH FROM hcfprodviews.ClaimHeaderV.ServiceEndDate) &lt;=6  THEN EXTRACT (YEAR FROM hcfprodviews.ClaimHeaderV.ServiceEndDate) _x000d__x000a__x0009__x0009_ELSE EXTRACT (YEAR FROM hcfprodviews.ClaimHeaderV.ServiceEndDate) + 1 _x000d__x000a__x0009_end) AS ServiceEndSFY,_x000d__x000a__x0009_TO_CHAR(hcfprodviews.ClaimHeaderV.ServiceEndDate, 'YYYY-MM') AS YYYYMM,_x000d__x000a_--    hcfprodviews.ClaimDetailLinesV.RevenueCd AS RevCode,_x000d__x000a_    '' AS RevCode,_x000d__x000a__x0009_hcfprodviews.ClaimHeaderV.ProviderID, _x000d__x000a__x0009_TRIM(hcfprodviews.ClaimHeaderV.ProviderName) AS ProviderName, _x000d__x000a__x0009_CAST('' AS CHAR(50)) AS PlanName,_x000d__x000a__x0009_CASE_x000d__x000a__x0009__x0009_WHEN hcfprodviews.ClaimHeaderV.ClaimInputMediumInd NOT IN ('p',  'x',  'y', 'z') THEN 'N'_x000d__x000a__x0009__x0009_ELSE 'Y'_x000d__x000a__x0009_end AS Crossover,_x000d__x000a__x0009_Case_x000d__x000a__x0009__x0009_When hcfprodviews.ClaimHeaderV.RecipientAidCategory in ('IB2', 'IC1', 'IB1', 'ID5', 'IF4', 'IA3', 'ID4', 'IC2', 'IP1', 'IF5', 'ID2', 'ID1', 'IA1', _x000d__x000a__x0009__x0009__x0009_'ID3', 'IPC', 'IPF', 'I18', 'IF1', 'IA2', 'IF8', 'IFP', 'IF7', 'IF2', 'ICF', 'IF9', 'IF6', 'IF3') Then 'Emergency Only'_x000d__x000a__x0009__x0009_When hcfprodviews.ClaimHeaderV.RecipientAidCategory = 'BYB' then 'Baby Your Baby'_x000d__x000a__x0009__x0009_When hcfprodviews.ClaimHeaderV.RecipientAidCategory in ('CI1', 'CI2', 'CI3', 'CI5','CI7','CI9','CIP') then 'CHIP'_x000d__x000a__x0009__x0009_When hcfprodviews.ClaimHeaderV.RecipientAidCategory in ('CI4','CI6','CI8') then 'Utah Premium Partnership'_x000d__x000a_        When hcfprodviews.ClaimHeaderV.RecipientAidCategory in ('A37','Q37','A42','A43','A44','Q42','Q43','Q44','E01','E02','E03','E04','E05','E06','E07','E08','E09','E0A','EE1','EE2','EE3','EFA','EFB','EFC','EFD','EFE','EFF','EFG','EFH','EN1','EN2','EN3','EN4','EN5','EN6','EN7','EN8','EP1','EP2','EP3','EP4','ES3','ES4','ES5','ES6','ES7','ES8','ES9','ESA') then 'Expansion'_x000d__x000a__x0009__x0009_else 'Other'_x000d__x000a__x0009_End as Category,_x000d__x000a__x0009_'  ' as PlaceofService,_x000d__x000a__x0009_'FFS      ' AS DataType,_x000d__x000a_        case_x000d__x000a_    _x0009__x0009_WHEN hcfprodviews.ClaimHeaderV.ProviderCountyCd &lt; 30 THEN 'In-State'_x000d__x000a_            WHEN hcfprodviews.ClaimHeaderV.ProviderCountyCd = 30 THEN 'Out-of-State'_x000d__x000a_            else 'Unknown'_x000d__x000a_            end as ProviderCountyCd,_x000d__x000a_--_x0009_hcfprodviews.ClaimHeaderV.ProviderCountyCd,_x000d__x000a__x0009_--Calculates days for LTAC instead of using total days_x000d__x000a__x0009_Avg(_x000d__x000a__x0009__x0009_CASE_x000d__x000a__x0009__x0009__x0009_WHEN hcfprodviews.ClaimHeaderV.ProviderId IN ('943430659001','203800889001', '203800889003', '942854057314', '942854057324', '942854057007', '870257692000', '300703582001') THEN (hcfprodviews.ClaimHeaderV.ServiceEndDate - hcfprodviews.ClaimHeaderV.ServiceBeginDate) _x000d__x000a__x0009__x0009__x0009_ELSE hcfprodviews.ClaimHeaderV.TotalDays_x000d__x000a__x0009__x0009_End) AS CalcDays,_x000d__x000a__x0009_Cast (COUNT (DISTINCT hcfprodviews.ClaimHeaderV.TCN) as decimal(6,0))AS Discharges,_x000d__x000a__x0009_Cast(Sum(hcfprodviews.ClaimDetailLinesV.SubmittedLineCharge)as decimal(12,2)) as Charges,_x000d__x000a__x0009_Cast(Avg(hcfprodviews.ClaimHeaderV.ReimbursementAmount) as decimal(12,2)) as Paid_x000d__x000a__x0009__x000d__x000a_FROM _x000d__x000a__x0009_hcfprodviews.ClaimHeaderV _x000d__x000a_Inner Join_x000d__x000a_    hcfprodviews.ClaimDetailLinesV_x000d__x000a_On hcfprodviews.ClaimHeaderV.TCN = hcfprodviews.ClaimDetailLinesV.TCN _x000d__x000a_--    and hcfprodviews.ClaimHeaderV.RecordCode in ('60','61','63')_x000d__x000a__x000d__x000a_Where _x000d__x000a_    hcfprodviews.ClaimHeaderV.ServiceEndDate BETWEEN (select myStartDate from Dates) AND (select myEndDate from Dates) AND _x000d__x000a_    hcfprodviews.ClaimHeaderV.ClaimStatus = 'm' AND _x000d__x000a__x0009_hcfprodviews.ClaimHeaderV.AccountingCd IN ('0', '2', '3', 'a', 'b', 'c', 'd', 'e', 'f') AND_x000d__x000a__x0009_hcfprodviews.ClaimHeaderV.ReimbursementAmount &gt;0 AND_x000d__x000a__x0009_hcfprodviews.ClaimHeaderV.FinalClaimInd = 'y' AND _x000d__x000a__x0009_(hcfprodviews.ClaimDetailLinesV.AllowedChargeSource NOT IN ('k', 'n', '1', 'u', 'x', 'y', 'z', '4') or hcfprodviews.ClaimDetailLinesV.AllowedChargeSource is null) AND_x000d__x000a__x0009_hcfprodviews.ClaimHeaderV.ProviderCountyCd &lt;&gt; '30' AND _x000d__x000a__x0009_hcfprodviews.ClaimHeaderV.ProviderCategoryOfService IN  ('01', '03','05') _x000d__x000a__x0009__x000d__x000a_GROUP BY_x000d__x000a_    hcfprodviews.ClaimHeaderV.TCN,_x000d__x000a__x0009_(CASE_x000d__x000a__x0009__x0009_WHEN EXTRACT (MONTH FROM hcfprodviews.ClaimHeaderV.ServiceEndDate) &lt;=6  THEN EXTRACT (YEAR FROM hcfprodviews.ClaimHeaderV.ServiceEndDate) _x000d__x000a__x0009__x0009_ELSE EXTRACT (YEAR FROM hcfprodviews.ClaimHeaderV.ServiceEndDate) + 1 _x000d__x000a__x0009_end),_x000d__x000a__x0009_TO_CHAR(hcfprodviews.ClaimHeaderV.ServiceEndDate, 'YYYY-MM'),_x000d__x000a_--  hcfprodviews.ClaimDetailLinesV.RevenueCd,_x000d__x000a_    '',_x000d__x000a__x0009_hcfprodviews.ClaimHeaderV.ProviderID, _x000d__x000a__x0009_hcfprodviews.ClaimHeaderV.ProviderName,_x000d__x000a__x0009_CAST('' AS CHAR(50)) ,_x000d__x000a__x0009_CASE_x000d__x000a__x0009__x0009_WHEN hcfprodviews.ClaimHeaderV.ClaimInputMediumInd NOT IN ('p',  'x',  'y', 'z') THEN 'N'_x000d__x000a__x0009__x0009_ELSE 'Y'_x000d__x000a__x0009_end,_x000d__x000a__x0009_Case_x000d__x000a__x0009__x0009_When hcfprodviews.ClaimHeaderV.RecipientAidCategory in ('IB2', 'IC1', 'IB1', 'ID5', 'IF4', 'IA3', 'ID4', 'IC2', 'IP1', 'IF5', 'ID2', 'ID1', 'IA1', _x000d__x000a__x0009__x0009__x0009_'ID3', 'IPC', 'IPF', 'I18', 'IF1', 'IA2', 'IF8', 'IFP', 'IF7', 'IF2', 'ICF', 'IF9', 'IF6', 'IF3') Then 'Emergency Only'_x000d__x000a__x0009__x0009_When hcfprodviews.ClaimHeaderV.RecipientAidCategory = 'BYB' then 'Baby Your Baby'_x000d__x000a__x0009__x0009_When hcfprodviews.ClaimHeaderV.RecipientAidCategory in ('CI1', 'CI2', 'CI3', 'CI5','CI7','CI9','CIP') then 'CHIP'_x000d__x000a__x0009__x0009_When hcfprodviews.ClaimHeaderV.RecipientAidCategory in ('CI4','CI6','CI8') then 'Utah Premium Partnership'_x000d__x000a_        When hcfprodviews.ClaimHeaderV.RecipientAidCategory in ('A37','Q37','A42','A43','A44','Q42','Q43','Q44','E01','E02','E03','E04','E05','E06','E07','E08','E09','E0A','EE1','EE2','EE3','EFA','EFB','EFC','EFD','EFE','EFF','EFG','EFH','EN1','EN2','EN3','EN4','EN5','EN6','EN7','EN8','EP1','EP2','EP3','EP4','ES3','ES4','ES5','ES6','ES7','ES8','ES9','ESA') then 'Expansion'_x000d__x000a__x0009__x0009_else 'Other'_x000d__x000a__x0009_End,_x000d__x000a__x0009_'  ' ,_x000d__x000a__x0009_'FFS      ',_x000d__x000a_        case_x000d__x000a_    _x0009__x0009_WHEN hcfprodviews.ClaimHeaderV.ProviderCountyCd &lt; 30 THEN 'In-State'_x000d__x000a_            WHEN hcfprodviews.ClaimHeaderV.ProviderCountyCd = 30 THEN 'Out-of-State'_x000d__x000a_            else 'Unknown'_x000d__x000a_            end_x000d__x000a_--_x0009_hcfprodviews.ClaimHeaderV.ProviderCountyCd_x000d__x000a_)vwCalc_x000d__x000a_    _x000d__x000a__x000d__x000a__x000d__x000a_UNION ALL_x000d__x000a__x000d__x000a__x000d__x000a__x000d__x000a_SELECT_x000d__x000a__x0009_(CASE_x000d__x000a__x0009__x0009_WHEN  EXTRACT (MONTH FROM vwEncounters.EndDOS) &lt;=6  THEN EXTRACT (YEAR FROM vwEncounters.EndDOS) _x000d__x000a__x0009__x0009_ELSE EXTRACT (YEAR FROM vwEncounters.EndDOS) + 1 _x000d__x000a__x0009_end) AS ServiceEndSFY,_x000d__x000a__x0009_TO_CHAR(vwEncounters.EndDOS, 'YYYY-MM') AS YYYYMM,_x000d__x000a_--    vwEncounters.RevCode,_x000d__x000a__x0009_vwEncounters.MedicaidID AS ProviderID,_x000d__x000a__x0009_COALESCE (TRIM(vwProviders.NAME), TRIM(vwEncounters.NAME)) AS NAME,_x000d__x000a__x0009_TRIM(hcfprodviews.PaymentContractsV.NAME) AS PlanName,_x000d__x000a__x0009_VwEncounters.Crossover AS Crossover,_x000d__x000a__x0009_vwEncounters.Category,_x000d__x000a__x0009_vwEncounters.PlaceofService,_x000d__x000a_    case _x000d__x000a_        when hcfsharedtables.plan_lookup.plangroup = 'PMHP' then 'PMHP' else_x000d__x000a__x0009_'Encounter' _x000d__x000a_    end AS DataType,_x000d__x000a_    case_x000d__x000a_    _x0009__x0009_WHEN pc.CountyCode &lt; 30 THEN 'In-State'_x000d__x000a_            WHEN pc.CountyCode = 30 THEN 'Out-of-State'_x000d__x000a_            WHEN pc.CountyCode is not null THEN 'In-State'_x000d__x000a_            else 'Unknown'_x000d__x000a_    end as ProviderCountyCd,_x000d__x000a__x0009_--Calculates days for LTAC instead of using total days_x000d__x000a__x0009_SUM(CASE_x000d__x000a__x0009__x0009_WHEN pc.ContractID IN ('943430659001','203800889001', '203800889003', '942854057314', '942854057324', '942854057007', '870257692000', '300703582001') THEN (vwEncounters.EndDOS - vwEncounters.BeginDOS) _x000d__x000a__x0009__x0009_ELSE vwEncounters.TotalDays_x000d__x000a__x0009_End) AS CalcDays,_x000d__x000a__x0009_COUNT(DISTINCT vwEncounters.EnctrTCN) AS Discharges,_x000d__x000a__x0009_Sum(vwEncounters.Charges) as Charges,_x000d__x000a__x0009_Sum(vwEncounters.Paid) as Paid_x000d__x000a__x0009__x000d__x000a__x0009__x000d__x000a__x0009__x000d__x000a_FROM_x000d__x000a__x0009_(_x000d__x000a__x0009_SELECT_x000d__x000a__x0009__x0009__x0009_--Plans report Pioneer Valley ID instead of Jordan Valley ID, which is used by FFS.  The following case statement takes Pioneer Valley Encounter IDs and sets them as Jordan Valley._x000d__x000a__x0009__x0009__x0009_v1.EnctrTCN,_x000d__x000a__x0009__x0009__x0009_CASE_x000d__x000a__x0009__x0009__x0009__x0009_WHEN hcfprodviews.EnctrProvidersV.MedicaidID IN ('820588653002','621795216007','820588653000') THEN '820588653001'_x000d__x000a__x0009__x0009__x0009__x0009_ELSE hcfprodviews.EnctrProvidersV.MedicaidID_x000d__x000a__x0009__x0009__x0009_End as MedicaidID,_x000d__x000a_            V1.ProviderID,_x000d__x000a__x0009__x0009__x0009_V1.BeginDOS,_x000d__x000a__x0009__x0009__x0009_V1.EndDOS,_x000d__x000a_--            v1.RevCode,_x000d__x000a__x0009__x0009__x0009_Crossover,_x000d__x000a__x0009__x0009__x0009_v1.Category,_x000d__x000a__x0009__x0009__x0009_v1.PlaceofService,_x000d__x000a__x0009__x0009__x0009_TRIM (hcfprodviews.EnctrProvidersV.ProviderLastName) AS NAME,_x000d__x000a_            'Encounter' AS DataType,_x000d__x000a__x0009__x0009__x0009_SUM(v1.Days) AS TotalDays,_x000d__x000a__x0009__x0009__x0009_Sum(v1.Charges) as Charges,_x000d__x000a__x0009__x0009__x0009_Sum(v1.Paid) as paid_x000d__x000a__x0009__x0009_FROM_x000d__x000a__x0009__x0009__x0009_(_x000d__x000a__x0009__x0009__x0009_SELECT _x000d__x000a__x0009__x0009__x0009__x0009_hcfprodviews.EncountersV.EnctrTCN,_x000d__x000a__x0009__x0009__x0009__x0009_hcfprodviews.EnctrBatchesV.ProviderID,_x000d__x000a__x0009__x0009__x0009__x0009_hcfprodviews.EncountersV.BeginDOS,_x000d__x000a__x0009__x0009__x0009__x0009_hcfprodviews.EncountersV.EndDOS,_x000d__x000a_--                vwSL.RclkCd RevCode,_x000d__x000a__x0009__x0009__x0009__x0009_CASE_x000d__x000a__x0009__x0009__x0009__x0009__x0009_WHEN hcfprodviews.EncountersV.Crossover = 'Y' THEN 'Y'_x000d__x000a__x0009__x0009__x0009__x0009__x0009_ELSE 'N'_x000d__x000a__x0009__x0009__x0009__x0009_End AS Crossover,_x000d__x000a__x0009__x0009__x0009__x0009_Case_x000d__x000a__x0009__x0009__x0009__x0009__x0009_When hcfprodviews.EncountersV.aidcd in ('IB2', 'IC1', 'IB1', 'ID5', 'IF4', 'IA3', 'ID4', 'IC2', 'IP1', 'IF5', 'ID2', 'ID1', 'IA1', _x000d__x000a__x0009__x0009__x0009__x0009__x0009_'ID3', 'IPC', 'IPF', 'I18', 'IF1', 'IA2', 'IF8', 'IFP', 'IF7', 'IF2', 'ICF', 'IF9', 'IF6', 'IF3') then 'Emergency Only'_x000d__x000a__x0009__x0009__x0009__x0009__x0009_When hcfprodviews.EncountersV.aidcd = 'BYB' then 'Baby Your Baby'_x000d__x000a__x0009__x0009__x0009__x0009__x0009_When hcfprodviews.EncountersV.aidcd in ('CI1', 'CI2', 'CI3', 'CI4','CI5','CI6','CI7','CI8','CI9','CIP') then 'CHIP'_x000d__x000a_                    When hcfprodviews.EncountersV.aidcd in ('A37','Q37','A42','A43','A44','Q42','Q43','Q44','E01','E02','E03','E04','E05','E06','E07','E08','E09','E0A','EE1','EE2','EE3','EFA','EFB','EFC','EFD','EFE','EFF','EFG','EFH','EN1','EN2','EN3','EN4','EN5','EN6','EN7','EN8','EP1','EP2','EP3','EP4','ES3','ES4','ES5','ES6','ES7','ES8','ES9','ESA') then 'Expansion'_x000d__x000a__x0009__x0009__x0009__x0009__x0009_else 'Other'_x000d__x000a__x0009__x0009__x0009__x0009_End as Category,_x000d__x000a__x0009__x0009__x0009__x0009_hcfprodviews.EncountersV.MCOPaidFlag,_x000d__x000a__x0009__x0009__x0009__x0009_hcfprodviews.EncountersV.POSLCD as PlaceofService,_x000d__x000a__x0009__x0009__x0009__x0009_hcfprodviews.EncountersV.ClientId,  _x000d__x000a__x0009__x0009__x0009__x0009_CAST((EndDOS - BeginDOS) AS INT) as Days,_x000d__x000a__x0009__x0009__x0009__x0009_vwSL.ChargedAmt as Charges,_x000d__x000a__x0009__x0009__x0009__x0009_hcfprodviews.EncountersV.MCOPaidAmt as Paid_x000d__x000a__x0009__x0009__x0009_FROM _x000d__x000a__x0009__x0009__x0009__x0009_hcfprodviews.EncountersV_x000d__x000a__x0009__x0009__x0009_INNER JOIN_x000d__x000a__x0009__x0009__x0009__x0009_hcfprodviews.EnctrBatchesV_x000d__x000a__x0009__x0009__x0009_ON_x000d__x000a__x0009__x0009__x0009__x0009_hcfprodviews.EncountersV.BatchId = hcfprodviews.EnctrBatchesV.BatchID _x000d__x000a__x0009__x0009__x0009_LEFT OUTER JOIN_x000d__x000a__x0009__x0009__x0009__x0009_(SELECT _x000d__x000a__x0009__x0009__x0009__x0009__x0009_hcfprodviews.EncountersV.EnctrTCN, _x000d__x000a_--_x0009__x0009__x0009__x0009__x0009_hcfprodviews.EnctrServLinesV.RclkCd, _x000d__x000a__x0009__x0009__x0009__x0009__x0009_Sum(hcfprodviews.EnctrServLinesV.ChargedAmt) as ChargedAmt _x000d__x000a_--_x0009__x0009__x0009__x0009__x0009_,Sum(hcfprodviews.EncountersV.MCOPaidAmt) as MCOPaidAmt_x000d__x000a__x0009__x0009__x0009__x0009_FROM hcfprodviews.EncountersV_x000d__x000a__x0009__x0009__x0009__x0009_INNER JOIN hcfprodviews.EnctrBatchesV_x000d__x000a__x0009__x0009__x0009__x0009_ON hcfprodviews.EncountersV.BatchId = hcfprodviews.EnctrBatchesV.BatchID _x000d__x000a__x0009__x0009__x0009__x0009_INNER JOIN hcfprodviews.EnctrServLinesV_x000d__x000a__x0009__x0009__x0009__x0009_On hcfprodviews.EncountersV.EnctrTCN = hcfprodviews.EnctrServLinesV.EnctrTCN_x000d__x000a__x0009__x0009__x0009__x0009_WHERE _x000d__x000a__x0009__x0009__x0009__x0009__x0009_(hcfprodviews.EncountersV.ReplacedInd = 'N') AND_x000d__x000a__x0009__x0009__x0009__x0009__x0009_(hcfprodviews.EncountersV.TypeCd ='INST') AND_x000d__x000a__x0009__x0009__x0009__x0009__x0009_(hcfprodviews.EncountersV.StatusCode NOT IN ('VD', 'AN', 'AW', 'RJ', 'ER')) AND_x000d__x000a__x0009__x0009__x0009__x0009__x0009_(hcfprodviews.EncountersV.EndDOS BETWEEN (select myStartDate from Dates) and (select myEndDate from Dates)) AND_x000d__x000a__x0009__x0009__x0009__x0009__x0009_(hcfprodviews.EnctrServLinesV.AllowedCharge &lt;&gt; 0 or hcfprodviews.EnctrServLinesV.AllowedCharge is null) AND--Excludes denied lines_x000d__x000a__x0009__x0009__x0009__x0009__x0009_(hcfprodviews.EnctrServLinesV.ZeroPriceInd &lt;&gt; '00' or hcfprodviews.EnctrServLinesV.ZeroPriceInd is null) --Excludes denied lines_x000d__x000a__x0009__x0009__x0009__x0009_Group by _x000d__x000a__x0009__x0009__x0009__x0009__x0009_hcfprodviews.EncountersV.EnctrTCN _x000d__x000a_--_x0009__x0009__x0009__x0009__x0009_,hcfprodviews.EnctrServLinesV.RclkCd_x000d__x000a__x0009__x0009__x0009__x0009__x0009_)vwSL_x000d__x000a__x0009__x0009__x0009_On_x000d__x000a__x0009__x0009__x0009__x0009_hcfprodviews.EncountersV.EnctrTCN = vwSL.EnctrTCN_x000d__x000a__x0009__x0009_/*_x0009_Inner Join_x000d__x000a__x0009__x0009__x0009__x0009_hcfprodviews.EnctrDiagnosesV_x000d__x000a__x0009__x0009__x0009_On_x000d__x000a__x0009__x0009__x0009__x0009_hcfprodviews.EncountersV.EnctrTCN = hcfprodviews.EnctrDiagnosesV.EnctrTCN */_x000d__x000a__x0009__x0009__x0009_WHERE _x000d__x000a__x0009__x0009__x0009__x0009_(_x000d__x000a__x0009__x0009__x0009__x0009_/*((hcfprodviews.EncountersV.BeginDOS &lt; hcfprodviews.EncountersV.EndDOS)  and_x000d__x000a__x0009__x0009__x0009__x0009_(hcfprodviews.EnctrDiagnosesV.DiagnosisType = 'DR')) and*/_x000d__x000a__x0009__x0009__x0009__x0009_--(hcfprodviews.EncountersV.POSLCD IN ('11', '12')) AND_x000d__x000a_--                hcfprodviews.EncountersV.EnctrTCN &lt;&gt; '200970000005' AND_x000d__x000a__x0009__x0009__x0009__x0009_(hcfprodviews.EncountersV.ReplacedInd = 'N') AND_x000d__x000a__x0009__x0009__x0009__x0009_(hcfprodviews.EncountersV.TypeCd ='INST') AND_x000d__x000a__x0009__x0009__x0009__x0009_(hcfprodviews.EncountersV.StatusCode NOT IN ('VD', 'AN', 'AW', 'RJ', 'ER')) AND_x000d__x000a__x0009__x0009__x0009__x0009_(hcfprodviews.EncountersV.EndDOS BETWEEN (select myStartDate from Dates) and (select myEndDate from Dates))_x000d__x000a__x0009__x0009__x0009__x0009_)_x000d__x000a__x0009__x0009__x0009_)_x000d__x000a__x0009__x0009__x0009_v1_x000d__x000a__x0009__x0009_INNER JOIN_x000d__x000a__x0009__x0009__x0009_hcfprodviews.EnctrProvIntV_x000d__x000a__x0009__x0009_ON_x000d__x000a__x0009__x0009__x0009_V1.EnctrTCN = hcfprodviews.EnctrProvIntV.EnctrTCN AND_x000d__x000a__x0009__x0009__x0009_V1.MCOPaidFlag = hcfprodviews.EnctrProvIntV.MCOPaidFlag_x000d__x000a__x0009__x0009__x0009__x000d__x000a__x0009__x0009_INNER JOIN_x000d__x000a__x0009__x0009__x0009_hcfprodviews.EnctrProvidersV_x000d__x000a__x0009__x0009_ON_x000d__x000a__x0009__x0009__x0009_hcfprodviews.EnctrProvIntV.EnctrProvID = hcfprodviews.EnctrProvidersV.EnctrProvId _x0009_AND _x000d__x000a__x0009__x0009__x0009_hcfprodviews.EnctrProvIntV.MCOPaidFlag = hcfprodviews.EnctrProvidersV.MCOPaidFlag_x0009__x000d__x000a__x0009__x0009_WHERE_x000d__x000a__x0009__x0009__x0009_hcfprodviews.EnctrProvIntV.ProviderType = '85'_x000d__x000a__x0009__x0009_GROUP BY_x000d__x000a__x0009__x0009__x0009_v1.EnctrTCN,_x000d__x000a__x0009__x0009__x0009_CASE_x000d__x000a__x0009__x0009__x0009__x0009_WHEN hcfprodviews.EnctrProvidersV.MedicaidID IN ('820588653002','621795216007','820588653000') THEN '820588653001'_x000d__x000a__x0009__x0009__x0009__x0009_ELSE hcfprodviews.EnctrProvidersV.MedicaidID_x000d__x000a__x0009__x0009__x0009_End,_x000d__x000a_            V1.ProviderID,_x000d__x000a__x0009__x0009__x0009_V1.BeginDOS,_x000d__x000a__x0009__x0009__x0009_V1.EndDOS,_x000d__x000a_--            v1.RevCode,_x000d__x000a__x0009__x0009__x0009_Crossover,_x000d__x000a__x0009__x0009__x0009_v1.Category,_x000d__x000a__x0009__x0009__x0009_v1.PlaceofService,_x000d__x000a__x0009__x0009__x0009_TRIM (hcfprodviews.EnctrProvidersV.ProviderLastName),_x000d__x000a_            'Encounter'_x000d__x000a__x0009_)_x000d__x000a__x0009_vwEncounters _x000d__x000a__x0009__x0009__x000d__x000a_LEFT OUTER JOIN_x000d__x000a__x0009_(_x000d__x000a__x0009_SELECT _x000d__x000a__x0009__x0009_hcfprodviews.PaymentContractsV.ContractId as ProviderID,_x000d__x000a__x0009__x0009_hcfprodviews.PaymentContractsV.NAME_x000d__x000a__x0009_FROM _x000d__x000a__x0009__x0009_hcfprodviews.PaymentContractsV_x000d__x000a__x0009_WHERE_x000d__x000a__x0009__x0009_hcfprodviews.PaymentContractsV.EndDate &gt; (select myStartDate from Dates)_x000d__x000a__x0009_GROUP BY _x000d__x000a__x0009__x0009_hcfprodviews.PaymentContractsV.ContractId,_x000d__x000a__x0009__x0009_hcfprodviews.PaymentContractsV.NAME_x0009__x0009__x000d__x000a__x0009_)_x000d__x000a__x0009_vwProviders_x0009__x0009__x0009__x000d__x000a__x0009__x000d__x000a_ON_x000d__x000a__x0009_vwEncounters.MedicaidID = vwProviders.ProviderID_x000d__x000a__x0009_--and vwEncounters.EndDOS = vwProviders.BeginDate and vwProviders.EndDate_x000d__x000a__x0009__x000d__x000a_LEFT OUTER JOIN_x000d__x000a__x0009_hcfprodviews.PaymentContractsV_x000d__x000a_ON_x000d__x000a__x0009_vwEncounters.ProviderID = hcfprodviews.PaymentContractsV.ContractId_x000d__x000a__x0009_--and vwEncounters.EndDOS between hcfprodviews.PaymentContractsV.BeginDate and hcfprodviews.PaymentContractsV.EndDate_x000d__x000a_LEFT OUTER JOIN_x000d__x000a__x0009_hcfprodviews.PaymentContractsV pc_x000d__x000a_ON_x000d__x000a__x0009_vwEncounters.MedicaidID = pc.ContractID_x000d__x000a_    _x000d__x000a_LEFT OUTER JOIN_x000d__x000a_    hcfsharedtables.plan_lookup_x000d__x000a_    on vwEncounters.ProviderID = hcfsharedtables.plan_lookup.providerid_x000d__x000a_    and hcfsharedtables.plan_lookup.plangroup = 'PMHP'_x000d__x000a__x000d__x000a_where_x000d__x000a_    (vwEncounters.PlaceofService IN ('11', '12') and hcfsharedtables.plan_lookup.plangroup is null) or -- Only include Inpatient claims_x000d__x000a_    (hcfsharedtables.plan_lookup.plangroup = 'PMHP' and vwEncounters.EndDOS between date '2017-07-01' and (select myEndDate from Dates)) -- Include PMHP claims from SFY 2018 and 2019_x000d__x000a_    _x000d__x000a_GROUP BY_x000d__x000a__x0009_(CASE_x000d__x000a__x0009__x0009_WHEN  EXTRACT (MONTH FROM vwEncounters.EndDOS) &lt;=6  THEN EXTRACT (YEAR FROM vwEncounters.EndDOS) _x000d__x000a__x0009__x0009_ELSE EXTRACT (YEAR FROM vwEncounters.EndDOS) + 1 _x000d__x000a__x0009_end),_x000d__x000a__x0009_TO_CHAR(vwEncounters.EndDOS, 'YYYY-MM'),_x000d__x000a_--    vwEncounters.RevCode,_x000d__x000a__x0009_vwEncounters.MedicaidID,_x000d__x000a__x0009_COALESCE (TRIM(vwProviders.NAME), TRIM(vwEncounters.NAME)),_x000d__x000a__x0009_TRIM(hcfprodviews.PaymentContractsV.NAME),_x000d__x000a__x0009_VwEncounters.Crossover,_x000d__x000a__x0009_vwEncounters.Category,_x000d__x000a__x0009_vwEncounters.PlaceofService,_x000d__x000a__x0009_case _x000d__x000a_        when hcfsharedtables.plan_lookup.plangroup = 'PMHP' then 'PMHP' else_x000d__x000a__x0009_'Encounter' _x000d__x000a_    end,_x000d__x000a_    case_x000d__x000a_    _x0009__x0009_WHEN pc.CountyCode &lt; 30 THEN 'In-State'_x000d__x000a_            WHEN pc.CountyCode = 30 THEN 'Out-of-State'_x000d__x000a_            WHEN pc.CountyCode is not null THEN 'In-State'_x000d__x000a_            else 'Unknown'_x000d__x000a_    end_x000d__x000a_--_x0009_''"/>
  </connection>
</connections>
</file>

<file path=xl/sharedStrings.xml><?xml version="1.0" encoding="utf-8"?>
<sst xmlns="http://schemas.openxmlformats.org/spreadsheetml/2006/main" count="91" uniqueCount="60">
  <si>
    <t>Percentage</t>
  </si>
  <si>
    <t>Total</t>
  </si>
  <si>
    <t>State</t>
  </si>
  <si>
    <t>State Portion</t>
  </si>
  <si>
    <t>Medicaid Base</t>
  </si>
  <si>
    <t>1st Qtr Amt</t>
  </si>
  <si>
    <t>Source of Funds - Combined</t>
  </si>
  <si>
    <t>2nd Qtr Amt</t>
  </si>
  <si>
    <t>3rd Qtr Amt</t>
  </si>
  <si>
    <t>4th Qtr Amt</t>
  </si>
  <si>
    <t>Total Amt</t>
  </si>
  <si>
    <t>Totals</t>
  </si>
  <si>
    <t>Hospital</t>
  </si>
  <si>
    <t>Medicaid GME Calculations</t>
  </si>
  <si>
    <t>State Fiscal Year</t>
  </si>
  <si>
    <t>UNIVERSITY OF UTAH HOSP</t>
  </si>
  <si>
    <t>PRIMARY CHILDRENS MED CNTR</t>
  </si>
  <si>
    <t>LDS HOSPITAL</t>
  </si>
  <si>
    <t>INTERMOUNTAIN MEDICAL CENTER</t>
  </si>
  <si>
    <t>UTAH VALLEY REG MED CNTR</t>
  </si>
  <si>
    <t>MCKAY DEE HOSPITAL</t>
  </si>
  <si>
    <t>ST MARKS HOSPITAL</t>
  </si>
  <si>
    <t>SALT LAKE REG MED CNTR</t>
  </si>
  <si>
    <t>UNIVERSITY HOSPITAL PSYCH</t>
  </si>
  <si>
    <t>County Codes</t>
  </si>
  <si>
    <t>18</t>
  </si>
  <si>
    <t>29</t>
  </si>
  <si>
    <t>25</t>
  </si>
  <si>
    <t>Medicaid Base - Q4</t>
  </si>
  <si>
    <t>Medicaid Base - Q3</t>
  </si>
  <si>
    <t>Medicaid Base - Q2</t>
  </si>
  <si>
    <t>Fed.Match Rate</t>
  </si>
  <si>
    <t>Medicaid Base - Q1</t>
  </si>
  <si>
    <t>Source of Funds</t>
  </si>
  <si>
    <t>876000525088</t>
  </si>
  <si>
    <t>942854058211</t>
  </si>
  <si>
    <t>870269232209</t>
  </si>
  <si>
    <t>870269232338</t>
  </si>
  <si>
    <t>870269232162</t>
  </si>
  <si>
    <t>870269232274</t>
  </si>
  <si>
    <t>621650573021</t>
  </si>
  <si>
    <t>621795214002</t>
  </si>
  <si>
    <t>876000525494</t>
  </si>
  <si>
    <t>1588656870</t>
  </si>
  <si>
    <t>NPI</t>
  </si>
  <si>
    <t>1699889576</t>
  </si>
  <si>
    <t>State Expansion</t>
  </si>
  <si>
    <t>State Non-Expansion</t>
  </si>
  <si>
    <t>Expansion</t>
  </si>
  <si>
    <t>Non-Expansion</t>
  </si>
  <si>
    <t>Federal Expansion</t>
  </si>
  <si>
    <t>Federal Non-Expansion</t>
  </si>
  <si>
    <t>Inpatient Mix</t>
  </si>
  <si>
    <t>1235148594</t>
  </si>
  <si>
    <t>1528078581</t>
  </si>
  <si>
    <t>1043220650</t>
  </si>
  <si>
    <t>1114025491</t>
  </si>
  <si>
    <t>1194749580</t>
  </si>
  <si>
    <t>1164469243</t>
  </si>
  <si>
    <t>1043915523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</si>
</sst>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38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4" fontId="41" fillId="0" borderId="0" applyFont="0" applyFill="0" applyBorder="0" applyAlignment="0" applyProtection="0"/>
  </cellStyleXfs>
  <cellXfs count="66">
    <xf numFmtId="0" fontId="0" fillId="0" borderId="0" xfId="0"/>
    <xf numFmtId="38" fontId="1" fillId="0" borderId="0" xfId="0" applyNumberFormat="1" applyFont="1"/>
    <xf numFmtId="38" fontId="22" fillId="0" borderId="0" xfId="0" applyNumberFormat="1" applyFont="1" applyAlignment="1">
      <alignment horizontal="center"/>
    </xf>
    <xf numFmtId="38" fontId="23" fillId="0" borderId="10" xfId="0" applyNumberFormat="1" applyFont="1" applyBorder="1"/>
    <xf numFmtId="38" fontId="1" fillId="0" borderId="10" xfId="0" applyNumberFormat="1" applyFont="1" applyBorder="1"/>
    <xf numFmtId="38" fontId="1" fillId="0" borderId="10" xfId="0" applyNumberFormat="1" applyFont="1" applyBorder="1" applyAlignment="1">
      <alignment horizontal="center"/>
    </xf>
    <xf numFmtId="38" fontId="20" fillId="0" borderId="0" xfId="0" applyNumberFormat="1" applyFont="1"/>
    <xf numFmtId="10" fontId="1" fillId="0" borderId="0" xfId="0" applyNumberFormat="1" applyFont="1"/>
    <xf numFmtId="38" fontId="1" fillId="0" borderId="11" xfId="0" applyNumberFormat="1" applyFont="1" applyBorder="1"/>
    <xf numFmtId="9" fontId="20" fillId="0" borderId="11" xfId="0" applyNumberFormat="1" applyFont="1" applyBorder="1"/>
    <xf numFmtId="9" fontId="20" fillId="0" borderId="0" xfId="0" applyNumberFormat="1" applyFont="1"/>
    <xf numFmtId="38" fontId="19" fillId="0" borderId="12" xfId="0" applyNumberFormat="1" applyFont="1" applyBorder="1"/>
    <xf numFmtId="38" fontId="19" fillId="0" borderId="12" xfId="0" applyNumberFormat="1" applyFont="1" applyBorder="1" applyAlignment="1">
      <alignment horizontal="center"/>
    </xf>
    <xf numFmtId="164" fontId="1" fillId="0" borderId="0" xfId="0" applyNumberFormat="1" applyFont="1"/>
    <xf numFmtId="164" fontId="20" fillId="0" borderId="11" xfId="0" applyNumberFormat="1" applyFont="1" applyBorder="1"/>
    <xf numFmtId="164" fontId="1" fillId="0" borderId="10" xfId="0" applyNumberFormat="1" applyFont="1" applyBorder="1" applyAlignment="1">
      <alignment horizontal="center"/>
    </xf>
    <xf numFmtId="164" fontId="1" fillId="24" borderId="0" xfId="0" applyNumberFormat="1" applyFont="1" applyFill="1"/>
    <xf numFmtId="38" fontId="22" fillId="0" borderId="0" xfId="0" applyNumberFormat="1" applyFont="1" applyAlignment="1">
      <alignment horizontal="left"/>
    </xf>
    <xf numFmtId="1" fontId="22" fillId="25" borderId="0" xfId="0" applyNumberFormat="1" applyFont="1" applyFill="1" applyAlignment="1">
      <alignment horizontal="center"/>
    </xf>
    <xf numFmtId="38" fontId="1" fillId="0" borderId="13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10" fontId="1" fillId="0" borderId="16" xfId="39" applyNumberFormat="1" applyFont="1" applyFill="1" applyBorder="1"/>
    <xf numFmtId="10" fontId="20" fillId="24" borderId="17" xfId="39" applyNumberFormat="1" applyFont="1" applyFill="1" applyBorder="1"/>
    <xf numFmtId="10" fontId="1" fillId="0" borderId="20" xfId="39" applyNumberFormat="1" applyFont="1" applyFill="1" applyBorder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49" fontId="23" fillId="0" borderId="10" xfId="0" applyNumberFormat="1" applyFont="1" applyBorder="1"/>
    <xf numFmtId="49" fontId="1" fillId="0" borderId="0" xfId="0" applyNumberFormat="1" applyFont="1"/>
    <xf numFmtId="49" fontId="0" fillId="0" borderId="0" xfId="0" applyNumberFormat="1"/>
    <xf numFmtId="49" fontId="19" fillId="0" borderId="12" xfId="0" applyNumberFormat="1" applyFont="1" applyBorder="1"/>
    <xf numFmtId="10" fontId="20" fillId="24" borderId="17" xfId="91" applyNumberFormat="1" applyFont="1" applyFill="1" applyBorder="1"/>
    <xf numFmtId="38" fontId="1" fillId="0" borderId="14" xfId="0" applyNumberFormat="1" applyFont="1" applyBorder="1" applyAlignment="1">
      <alignment horizontal="center" vertical="center" wrapText="1"/>
    </xf>
    <xf numFmtId="38" fontId="1" fillId="0" borderId="15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wrapText="1"/>
    </xf>
    <xf numFmtId="38" fontId="1" fillId="0" borderId="2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22" xfId="0" applyNumberFormat="1" applyFont="1" applyBorder="1" applyAlignment="1">
      <alignment horizontal="center" vertical="center" wrapText="1"/>
    </xf>
    <xf numFmtId="38" fontId="1" fillId="0" borderId="21" xfId="0" applyNumberFormat="1" applyFont="1" applyBorder="1" applyAlignment="1">
      <alignment horizontal="center"/>
    </xf>
    <xf numFmtId="10" fontId="1" fillId="0" borderId="24" xfId="39" applyNumberFormat="1" applyFont="1" applyFill="1" applyBorder="1"/>
    <xf numFmtId="10" fontId="20" fillId="24" borderId="23" xfId="91" applyNumberFormat="1" applyFont="1" applyFill="1" applyBorder="1"/>
    <xf numFmtId="9" fontId="1" fillId="25" borderId="21" xfId="39" applyFont="1" applyFill="1" applyBorder="1"/>
    <xf numFmtId="9" fontId="1" fillId="0" borderId="21" xfId="39" applyFont="1" applyBorder="1"/>
    <xf numFmtId="10" fontId="20" fillId="24" borderId="23" xfId="39" applyNumberFormat="1" applyFont="1" applyFill="1" applyBorder="1"/>
    <xf numFmtId="164" fontId="1" fillId="0" borderId="22" xfId="0" applyNumberFormat="1" applyFont="1" applyBorder="1"/>
    <xf numFmtId="164" fontId="1" fillId="0" borderId="20" xfId="0" applyNumberFormat="1" applyFont="1" applyBorder="1"/>
    <xf numFmtId="164" fontId="19" fillId="0" borderId="27" xfId="0" applyNumberFormat="1" applyFont="1" applyBorder="1"/>
    <xf numFmtId="164" fontId="19" fillId="0" borderId="28" xfId="0" applyNumberFormat="1" applyFont="1" applyBorder="1"/>
    <xf numFmtId="49" fontId="1" fillId="0" borderId="10" xfId="0" applyNumberFormat="1" applyFont="1" applyBorder="1"/>
    <xf numFmtId="164" fontId="1" fillId="0" borderId="0" xfId="97" applyNumberFormat="1" applyFont="1"/>
    <xf numFmtId="38" fontId="19" fillId="0" borderId="29" xfId="0" applyNumberFormat="1" applyFont="1" applyBorder="1" applyAlignment="1">
      <alignment horizontal="center"/>
    </xf>
    <xf numFmtId="164" fontId="20" fillId="0" borderId="25" xfId="0" applyNumberFormat="1" applyFont="1" applyBorder="1"/>
    <xf numFmtId="38" fontId="19" fillId="0" borderId="30" xfId="0" applyNumberFormat="1" applyFont="1" applyBorder="1" applyAlignment="1">
      <alignment horizontal="center"/>
    </xf>
    <xf numFmtId="164" fontId="20" fillId="0" borderId="26" xfId="0" applyNumberFormat="1" applyFont="1" applyBorder="1"/>
    <xf numFmtId="38" fontId="19" fillId="0" borderId="31" xfId="0" applyNumberFormat="1" applyFont="1" applyBorder="1" applyAlignment="1">
      <alignment horizontal="center"/>
    </xf>
    <xf numFmtId="38" fontId="24" fillId="0" borderId="15" xfId="0" applyNumberFormat="1" applyFont="1" applyBorder="1" applyAlignment="1">
      <alignment horizontal="right"/>
    </xf>
    <xf numFmtId="38" fontId="21" fillId="0" borderId="0" xfId="0" applyNumberFormat="1" applyFont="1" applyAlignment="1">
      <alignment horizontal="left"/>
    </xf>
    <xf numFmtId="38" fontId="19" fillId="0" borderId="18" xfId="0" applyNumberFormat="1" applyFont="1" applyBorder="1" applyAlignment="1">
      <alignment horizontal="center"/>
    </xf>
    <xf numFmtId="38" fontId="19" fillId="0" borderId="19" xfId="0" applyNumberFormat="1" applyFont="1" applyBorder="1" applyAlignment="1">
      <alignment horizontal="center"/>
    </xf>
    <xf numFmtId="38" fontId="19" fillId="0" borderId="32" xfId="0" applyNumberFormat="1" applyFont="1" applyBorder="1" applyAlignment="1">
      <alignment horizontal="center"/>
    </xf>
    <xf numFmtId="38" fontId="23" fillId="0" borderId="18" xfId="0" applyNumberFormat="1" applyFont="1" applyBorder="1" applyAlignment="1">
      <alignment horizontal="center"/>
    </xf>
    <xf numFmtId="38" fontId="23" fillId="0" borderId="19" xfId="0" applyNumberFormat="1" applyFont="1" applyBorder="1" applyAlignment="1">
      <alignment horizontal="center"/>
    </xf>
    <xf numFmtId="164" fontId="1" fillId="0" borderId="0" xfId="97" applyNumberFormat="1" applyFont="1" applyFill="1"/>
    <xf numFmtId="164" fontId="1" fillId="0" borderId="22" xfId="0" applyNumberFormat="1" applyFont="1" applyFill="1" applyBorder="1"/>
    <xf numFmtId="164" fontId="1" fillId="0" borderId="20" xfId="0" applyNumberFormat="1" applyFont="1" applyFill="1" applyBorder="1"/>
    <xf numFmtId="164" fontId="20" fillId="0" borderId="25" xfId="0" applyNumberFormat="1" applyFont="1" applyFill="1" applyBorder="1"/>
    <xf numFmtId="164" fontId="20" fillId="0" borderId="26" xfId="0" applyNumberFormat="1" applyFont="1" applyFill="1" applyBorder="1"/>
  </cellXfs>
  <cellStyles count="98">
    <cellStyle name="£Z_x0004_Ç_x0006_^_x0004_" xfId="45" xr:uid="{00000000-0005-0000-0000-000000000000}"/>
    <cellStyle name="£Z_x0004_Ç_x0006_^_x0004_ 2" xfId="46" xr:uid="{00000000-0005-0000-0000-000001000000}"/>
    <cellStyle name="20% - Accent1" xfId="1" builtinId="30" customBuiltin="1"/>
    <cellStyle name="20% - Accent1 2" xfId="47" xr:uid="{00000000-0005-0000-0000-000003000000}"/>
    <cellStyle name="20% - Accent2" xfId="2" builtinId="34" customBuiltin="1"/>
    <cellStyle name="20% - Accent2 2" xfId="48" xr:uid="{00000000-0005-0000-0000-000005000000}"/>
    <cellStyle name="20% - Accent3" xfId="3" builtinId="38" customBuiltin="1"/>
    <cellStyle name="20% - Accent3 2" xfId="49" xr:uid="{00000000-0005-0000-0000-000007000000}"/>
    <cellStyle name="20% - Accent4" xfId="4" builtinId="42" customBuiltin="1"/>
    <cellStyle name="20% - Accent4 2" xfId="50" xr:uid="{00000000-0005-0000-0000-000009000000}"/>
    <cellStyle name="20% - Accent5" xfId="5" builtinId="46" customBuiltin="1"/>
    <cellStyle name="20% - Accent5 2" xfId="51" xr:uid="{00000000-0005-0000-0000-00000B000000}"/>
    <cellStyle name="20% - Accent6" xfId="6" builtinId="50" customBuiltin="1"/>
    <cellStyle name="20% - Accent6 2" xfId="52" xr:uid="{00000000-0005-0000-0000-00000D000000}"/>
    <cellStyle name="40% - Accent1" xfId="7" builtinId="31" customBuiltin="1"/>
    <cellStyle name="40% - Accent1 2" xfId="53" xr:uid="{00000000-0005-0000-0000-00000F000000}"/>
    <cellStyle name="40% - Accent2" xfId="8" builtinId="35" customBuiltin="1"/>
    <cellStyle name="40% - Accent2 2" xfId="54" xr:uid="{00000000-0005-0000-0000-000011000000}"/>
    <cellStyle name="40% - Accent3" xfId="9" builtinId="39" customBuiltin="1"/>
    <cellStyle name="40% - Accent3 2" xfId="55" xr:uid="{00000000-0005-0000-0000-000013000000}"/>
    <cellStyle name="40% - Accent4" xfId="10" builtinId="43" customBuiltin="1"/>
    <cellStyle name="40% - Accent4 2" xfId="56" xr:uid="{00000000-0005-0000-0000-000015000000}"/>
    <cellStyle name="40% - Accent5" xfId="11" builtinId="47" customBuiltin="1"/>
    <cellStyle name="40% - Accent5 2" xfId="57" xr:uid="{00000000-0005-0000-0000-000017000000}"/>
    <cellStyle name="40% - Accent6" xfId="12" builtinId="51" customBuiltin="1"/>
    <cellStyle name="40% - Accent6 2" xfId="58" xr:uid="{00000000-0005-0000-0000-000019000000}"/>
    <cellStyle name="60% - Accent1" xfId="13" builtinId="32" customBuiltin="1"/>
    <cellStyle name="60% - Accent1 2" xfId="59" xr:uid="{00000000-0005-0000-0000-00001B000000}"/>
    <cellStyle name="60% - Accent2" xfId="14" builtinId="36" customBuiltin="1"/>
    <cellStyle name="60% - Accent2 2" xfId="60" xr:uid="{00000000-0005-0000-0000-00001D000000}"/>
    <cellStyle name="60% - Accent3" xfId="15" builtinId="40" customBuiltin="1"/>
    <cellStyle name="60% - Accent3 2" xfId="61" xr:uid="{00000000-0005-0000-0000-00001F000000}"/>
    <cellStyle name="60% - Accent4" xfId="16" builtinId="44" customBuiltin="1"/>
    <cellStyle name="60% - Accent4 2" xfId="62" xr:uid="{00000000-0005-0000-0000-000021000000}"/>
    <cellStyle name="60% - Accent5" xfId="17" builtinId="48" customBuiltin="1"/>
    <cellStyle name="60% - Accent5 2" xfId="63" xr:uid="{00000000-0005-0000-0000-000023000000}"/>
    <cellStyle name="60% - Accent6" xfId="18" builtinId="52" customBuiltin="1"/>
    <cellStyle name="60% - Accent6 2" xfId="64" xr:uid="{00000000-0005-0000-0000-000025000000}"/>
    <cellStyle name="Accent1" xfId="19" builtinId="29" customBuiltin="1"/>
    <cellStyle name="Accent1 2" xfId="65" xr:uid="{00000000-0005-0000-0000-000027000000}"/>
    <cellStyle name="Accent2" xfId="20" builtinId="33" customBuiltin="1"/>
    <cellStyle name="Accent2 2" xfId="66" xr:uid="{00000000-0005-0000-0000-000029000000}"/>
    <cellStyle name="Accent3" xfId="21" builtinId="37" customBuiltin="1"/>
    <cellStyle name="Accent3 2" xfId="67" xr:uid="{00000000-0005-0000-0000-00002B000000}"/>
    <cellStyle name="Accent4" xfId="22" builtinId="41" customBuiltin="1"/>
    <cellStyle name="Accent4 2" xfId="68" xr:uid="{00000000-0005-0000-0000-00002D000000}"/>
    <cellStyle name="Accent5" xfId="23" builtinId="45" customBuiltin="1"/>
    <cellStyle name="Accent5 2" xfId="69" xr:uid="{00000000-0005-0000-0000-00002F000000}"/>
    <cellStyle name="Accent6" xfId="24" builtinId="49" customBuiltin="1"/>
    <cellStyle name="Accent6 2" xfId="70" xr:uid="{00000000-0005-0000-0000-000031000000}"/>
    <cellStyle name="Bad" xfId="25" builtinId="27" customBuiltin="1"/>
    <cellStyle name="Bad 2" xfId="71" xr:uid="{00000000-0005-0000-0000-000033000000}"/>
    <cellStyle name="Calculation" xfId="26" builtinId="22" customBuiltin="1"/>
    <cellStyle name="Calculation 2" xfId="72" xr:uid="{00000000-0005-0000-0000-000035000000}"/>
    <cellStyle name="Check Cell" xfId="27" builtinId="23" customBuiltin="1"/>
    <cellStyle name="Check Cell 2" xfId="73" xr:uid="{00000000-0005-0000-0000-000037000000}"/>
    <cellStyle name="Comma 2" xfId="74" xr:uid="{00000000-0005-0000-0000-000038000000}"/>
    <cellStyle name="Comma 2 2" xfId="75" xr:uid="{00000000-0005-0000-0000-000039000000}"/>
    <cellStyle name="Comma 3" xfId="76" xr:uid="{00000000-0005-0000-0000-00003A000000}"/>
    <cellStyle name="Currency" xfId="97" builtinId="4"/>
    <cellStyle name="Currency 2" xfId="77" xr:uid="{00000000-0005-0000-0000-00003B000000}"/>
    <cellStyle name="Explanatory Text" xfId="28" builtinId="53" customBuiltin="1"/>
    <cellStyle name="Explanatory Text 2" xfId="78" xr:uid="{00000000-0005-0000-0000-00003D000000}"/>
    <cellStyle name="Good" xfId="29" builtinId="26" customBuiltin="1"/>
    <cellStyle name="Good 2" xfId="79" xr:uid="{00000000-0005-0000-0000-00003F000000}"/>
    <cellStyle name="Heading 1" xfId="30" builtinId="16" customBuiltin="1"/>
    <cellStyle name="Heading 1 2" xfId="80" xr:uid="{00000000-0005-0000-0000-000041000000}"/>
    <cellStyle name="Heading 2" xfId="31" builtinId="17" customBuiltin="1"/>
    <cellStyle name="Heading 2 2" xfId="81" xr:uid="{00000000-0005-0000-0000-000043000000}"/>
    <cellStyle name="Heading 3" xfId="32" builtinId="18" customBuiltin="1"/>
    <cellStyle name="Heading 3 2" xfId="82" xr:uid="{00000000-0005-0000-0000-000045000000}"/>
    <cellStyle name="Heading 4" xfId="33" builtinId="19" customBuiltin="1"/>
    <cellStyle name="Heading 4 2" xfId="83" xr:uid="{00000000-0005-0000-0000-000047000000}"/>
    <cellStyle name="Input" xfId="34" builtinId="20" customBuiltin="1"/>
    <cellStyle name="Input 2" xfId="84" xr:uid="{00000000-0005-0000-0000-000049000000}"/>
    <cellStyle name="Linked Cell" xfId="35" builtinId="24" customBuiltin="1"/>
    <cellStyle name="Linked Cell 2" xfId="85" xr:uid="{00000000-0005-0000-0000-00004B000000}"/>
    <cellStyle name="Neutral" xfId="36" builtinId="28" customBuiltin="1"/>
    <cellStyle name="Neutral 2" xfId="86" xr:uid="{00000000-0005-0000-0000-00004D000000}"/>
    <cellStyle name="Normal" xfId="0" builtinId="0"/>
    <cellStyle name="Normal 2" xfId="43" xr:uid="{00000000-0005-0000-0000-00004F000000}"/>
    <cellStyle name="Normal 2 2" xfId="87" xr:uid="{00000000-0005-0000-0000-000050000000}"/>
    <cellStyle name="Normal 3" xfId="88" xr:uid="{00000000-0005-0000-0000-000051000000}"/>
    <cellStyle name="Normal 4" xfId="44" xr:uid="{00000000-0005-0000-0000-000052000000}"/>
    <cellStyle name="Note" xfId="37" builtinId="10" customBuiltin="1"/>
    <cellStyle name="Note 2" xfId="89" xr:uid="{00000000-0005-0000-0000-000054000000}"/>
    <cellStyle name="Output" xfId="38" builtinId="21" customBuiltin="1"/>
    <cellStyle name="Output 2" xfId="90" xr:uid="{00000000-0005-0000-0000-000056000000}"/>
    <cellStyle name="Percent" xfId="39" builtinId="5"/>
    <cellStyle name="Percent 2" xfId="91" xr:uid="{00000000-0005-0000-0000-000058000000}"/>
    <cellStyle name="Percent 2 2" xfId="92" xr:uid="{00000000-0005-0000-0000-000059000000}"/>
    <cellStyle name="Percent 3" xfId="93" xr:uid="{00000000-0005-0000-0000-00005A000000}"/>
    <cellStyle name="Title" xfId="40" builtinId="15" customBuiltin="1"/>
    <cellStyle name="Title 2" xfId="94" xr:uid="{00000000-0005-0000-0000-00005C000000}"/>
    <cellStyle name="Total" xfId="41" builtinId="25" customBuiltin="1"/>
    <cellStyle name="Total 2" xfId="95" xr:uid="{00000000-0005-0000-0000-00005E000000}"/>
    <cellStyle name="Warning Text" xfId="42" builtinId="11" customBuiltin="1"/>
    <cellStyle name="Warning Text 2" xfId="96" xr:uid="{00000000-0005-0000-0000-000060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DSH/Payments(SvcDate)/FFY12/DSHYESummaryFY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Assessment/Payments/FY2013/Q1/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UPL/UPL%20-%20Outpatient/FY2012/Utah%20FY12%20OP%20UP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weep"/>
      <sheetName val="AdditionalPool"/>
      <sheetName val="Supplemental(Svc)"/>
      <sheetName val="ClaimsAddOn"/>
      <sheetName val="Sheet1"/>
      <sheetName val="LookUp"/>
      <sheetName val="CoversheetAddPool"/>
      <sheetName val="MatchAdmin"/>
    </sheetNames>
    <sheetDataSet>
      <sheetData sheetId="0" refreshError="1"/>
      <sheetData sheetId="1">
        <row r="9">
          <cell r="A9" t="str">
            <v>BEAVER VALLEY HOSPITAL</v>
          </cell>
          <cell r="B9" t="str">
            <v>870271937004</v>
          </cell>
          <cell r="C9" t="str">
            <v>01</v>
          </cell>
          <cell r="D9">
            <v>876800</v>
          </cell>
          <cell r="E9">
            <v>1095224</v>
          </cell>
          <cell r="F9">
            <v>7339.9</v>
          </cell>
          <cell r="G9">
            <v>876800</v>
          </cell>
          <cell r="H9">
            <v>0</v>
          </cell>
          <cell r="I9">
            <v>884139.9</v>
          </cell>
          <cell r="J9">
            <v>0</v>
          </cell>
          <cell r="K9">
            <v>211084.09999999998</v>
          </cell>
          <cell r="L9">
            <v>0.11420878292090927</v>
          </cell>
          <cell r="M9">
            <v>159143.42909966057</v>
          </cell>
        </row>
        <row r="10">
          <cell r="B10" t="str">
            <v>876000309018</v>
          </cell>
          <cell r="C10" t="str">
            <v>09</v>
          </cell>
          <cell r="D10">
            <v>876800</v>
          </cell>
          <cell r="E10">
            <v>654291</v>
          </cell>
          <cell r="F10">
            <v>2505.7199999999998</v>
          </cell>
          <cell r="G10">
            <v>654291</v>
          </cell>
          <cell r="H10">
            <v>0</v>
          </cell>
          <cell r="I10">
            <v>656796.72</v>
          </cell>
          <cell r="J10">
            <v>222509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870212456005</v>
          </cell>
          <cell r="C11" t="str">
            <v>20</v>
          </cell>
          <cell r="D11">
            <v>876800</v>
          </cell>
          <cell r="E11">
            <v>377847</v>
          </cell>
          <cell r="F11">
            <v>4851.8900000000003</v>
          </cell>
          <cell r="G11">
            <v>377847</v>
          </cell>
          <cell r="H11">
            <v>0</v>
          </cell>
          <cell r="I11">
            <v>382698.89</v>
          </cell>
          <cell r="J11">
            <v>498953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870467930003</v>
          </cell>
          <cell r="C12" t="str">
            <v>13</v>
          </cell>
          <cell r="D12">
            <v>876800</v>
          </cell>
          <cell r="E12">
            <v>604389</v>
          </cell>
          <cell r="F12">
            <v>1587.5</v>
          </cell>
          <cell r="G12">
            <v>604388</v>
          </cell>
          <cell r="H12">
            <v>0</v>
          </cell>
          <cell r="I12">
            <v>605975.5</v>
          </cell>
          <cell r="J12">
            <v>272412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870222074005</v>
          </cell>
          <cell r="C13" t="str">
            <v>01</v>
          </cell>
          <cell r="D13">
            <v>876800</v>
          </cell>
          <cell r="E13">
            <v>477231</v>
          </cell>
          <cell r="F13">
            <v>6.75</v>
          </cell>
          <cell r="G13">
            <v>477231</v>
          </cell>
          <cell r="H13">
            <v>0</v>
          </cell>
          <cell r="I13">
            <v>477237.75</v>
          </cell>
          <cell r="J13">
            <v>399569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870270956005</v>
          </cell>
          <cell r="C14" t="str">
            <v>10</v>
          </cell>
          <cell r="D14">
            <v>876800</v>
          </cell>
          <cell r="E14">
            <v>2285965</v>
          </cell>
          <cell r="F14">
            <v>5458.85</v>
          </cell>
          <cell r="G14">
            <v>876800</v>
          </cell>
          <cell r="H14">
            <v>0</v>
          </cell>
          <cell r="I14">
            <v>882258.85</v>
          </cell>
          <cell r="J14">
            <v>0</v>
          </cell>
          <cell r="K14">
            <v>1403706.15</v>
          </cell>
          <cell r="L14">
            <v>0.75948672102775772</v>
          </cell>
          <cell r="M14">
            <v>1058301.4550090819</v>
          </cell>
        </row>
        <row r="15">
          <cell r="B15" t="str">
            <v>876000616019</v>
          </cell>
          <cell r="C15" t="str">
            <v>19</v>
          </cell>
          <cell r="D15">
            <v>1017000</v>
          </cell>
          <cell r="E15">
            <v>1252436</v>
          </cell>
          <cell r="F15">
            <v>1996.24</v>
          </cell>
          <cell r="G15">
            <v>1017000</v>
          </cell>
          <cell r="H15">
            <v>0</v>
          </cell>
          <cell r="I15">
            <v>1018996.24</v>
          </cell>
          <cell r="J15">
            <v>0</v>
          </cell>
          <cell r="K15">
            <v>233439.76</v>
          </cell>
          <cell r="L15">
            <v>0.12630449605133293</v>
          </cell>
          <cell r="M15">
            <v>175998.1158912575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D13">
            <v>0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D14">
            <v>0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D20">
            <v>0</v>
          </cell>
          <cell r="E20">
            <v>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D21">
            <v>0</v>
          </cell>
          <cell r="E21">
            <v>0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D22">
            <v>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D23">
            <v>0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/>
          <cell r="D24">
            <v>0</v>
          </cell>
          <cell r="E24">
            <v>0</v>
          </cell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D25">
            <v>0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D26">
            <v>0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D27">
            <v>0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/>
          <cell r="D29">
            <v>0</v>
          </cell>
          <cell r="E29">
            <v>0</v>
          </cell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D30">
            <v>0</v>
          </cell>
          <cell r="E30">
            <v>0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D32">
            <v>0</v>
          </cell>
          <cell r="E32">
            <v>0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D34">
            <v>0</v>
          </cell>
          <cell r="E34">
            <v>0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D36">
            <v>0</v>
          </cell>
          <cell r="E36">
            <v>0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D37">
            <v>0</v>
          </cell>
          <cell r="E37">
            <v>0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D38">
            <v>0</v>
          </cell>
          <cell r="E38">
            <v>0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D39">
            <v>0</v>
          </cell>
          <cell r="E39">
            <v>0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D40">
            <v>0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/>
          <cell r="D41">
            <v>0</v>
          </cell>
          <cell r="E41">
            <v>0</v>
          </cell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D42">
            <v>0</v>
          </cell>
          <cell r="E42">
            <v>0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D43">
            <v>0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D44">
            <v>0</v>
          </cell>
          <cell r="E44">
            <v>0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D45">
            <v>0</v>
          </cell>
          <cell r="E45">
            <v>0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D46">
            <v>0</v>
          </cell>
          <cell r="E46">
            <v>0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D47">
            <v>0</v>
          </cell>
          <cell r="E47">
            <v>0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D48">
            <v>0</v>
          </cell>
          <cell r="E48">
            <v>0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D50">
            <v>0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/>
          <cell r="D51">
            <v>0</v>
          </cell>
          <cell r="E51">
            <v>0</v>
          </cell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D52">
            <v>0</v>
          </cell>
          <cell r="E52">
            <v>0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D53">
            <v>0</v>
          </cell>
          <cell r="E53">
            <v>0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D54">
            <v>0</v>
          </cell>
          <cell r="E54">
            <v>0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D55">
            <v>0</v>
          </cell>
          <cell r="E55">
            <v>0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D56">
            <v>0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D57">
            <v>0</v>
          </cell>
          <cell r="E57">
            <v>0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D58">
            <v>0</v>
          </cell>
          <cell r="E58">
            <v>0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D59">
            <v>0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D60">
            <v>0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B62">
            <v>0</v>
          </cell>
          <cell r="C62" t="str">
            <v>362193608001</v>
          </cell>
          <cell r="D62">
            <v>0</v>
          </cell>
          <cell r="E62">
            <v>0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B63">
            <v>0</v>
          </cell>
          <cell r="C63" t="str">
            <v>942854057911</v>
          </cell>
          <cell r="D63">
            <v>0</v>
          </cell>
          <cell r="E63">
            <v>0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B64">
            <v>0</v>
          </cell>
          <cell r="C64" t="str">
            <v>942854057207</v>
          </cell>
          <cell r="D64">
            <v>0</v>
          </cell>
          <cell r="E64">
            <v>0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/>
          <cell r="D65">
            <v>0</v>
          </cell>
          <cell r="E65">
            <v>0</v>
          </cell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D66">
            <v>0</v>
          </cell>
          <cell r="E66">
            <v>0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/>
          <cell r="D67">
            <v>0</v>
          </cell>
          <cell r="E67">
            <v>0</v>
          </cell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0</v>
          </cell>
          <cell r="D68">
            <v>0</v>
          </cell>
          <cell r="E68">
            <v>0</v>
          </cell>
          <cell r="F68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BF846-199E-4773-9487-7F4441D6AC08}">
  <sheetPr>
    <pageSetUpPr fitToPage="1"/>
  </sheetPr>
  <dimension ref="A1:O27"/>
  <sheetViews>
    <sheetView tabSelected="1" zoomScaleNormal="100" workbookViewId="0">
      <selection sqref="A1:J1"/>
    </sheetView>
  </sheetViews>
  <sheetFormatPr defaultColWidth="9.140625" defaultRowHeight="12.75" x14ac:dyDescent="0.2"/>
  <cols>
    <col min="1" max="1" width="3.7109375" style="1" customWidth="1"/>
    <col min="2" max="2" width="14.85546875" style="27" bestFit="1" customWidth="1"/>
    <col min="3" max="3" width="17.7109375" style="1" bestFit="1" customWidth="1"/>
    <col min="4" max="4" width="33.42578125" style="1" bestFit="1" customWidth="1"/>
    <col min="5" max="5" width="12.7109375" style="1" bestFit="1" customWidth="1"/>
    <col min="6" max="6" width="13.85546875" style="1" bestFit="1" customWidth="1"/>
    <col min="7" max="7" width="14.7109375" style="1" bestFit="1" customWidth="1"/>
    <col min="8" max="8" width="12.7109375" style="1" bestFit="1" customWidth="1"/>
    <col min="9" max="9" width="14.7109375" style="1" bestFit="1" customWidth="1"/>
    <col min="10" max="10" width="12.7109375" style="1" bestFit="1" customWidth="1"/>
    <col min="11" max="11" width="14.7109375" style="1" bestFit="1" customWidth="1"/>
    <col min="12" max="12" width="14.42578125" style="27" bestFit="1" customWidth="1"/>
    <col min="13" max="13" width="14.7109375" style="1" bestFit="1" customWidth="1"/>
    <col min="14" max="14" width="12.7109375" style="1" bestFit="1" customWidth="1"/>
    <col min="15" max="15" width="13.85546875" style="1" bestFit="1" customWidth="1"/>
    <col min="16" max="16384" width="9.140625" style="1"/>
  </cols>
  <sheetData>
    <row r="1" spans="1:15" ht="23.25" x14ac:dyDescent="0.35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</row>
    <row r="2" spans="1:15" ht="16.5" customHeight="1" x14ac:dyDescent="0.25">
      <c r="A2" s="17" t="s">
        <v>14</v>
      </c>
      <c r="B2" s="24"/>
      <c r="C2" s="2"/>
      <c r="D2" s="18">
        <v>2024</v>
      </c>
      <c r="G2" s="37" t="s">
        <v>49</v>
      </c>
      <c r="H2" s="37" t="s">
        <v>48</v>
      </c>
      <c r="J2" s="2"/>
      <c r="K2" s="59" t="str">
        <f>"Federal Fiscal Year " &amp; $D$2-1</f>
        <v>Federal Fiscal Year 2023</v>
      </c>
      <c r="L2" s="60"/>
      <c r="M2" s="37" t="s">
        <v>49</v>
      </c>
      <c r="N2" s="37" t="s">
        <v>48</v>
      </c>
    </row>
    <row r="3" spans="1:15" ht="16.5" customHeight="1" x14ac:dyDescent="0.25">
      <c r="A3" s="2"/>
      <c r="B3" s="25"/>
      <c r="C3" s="2"/>
      <c r="D3" s="2"/>
      <c r="F3" s="34" t="s">
        <v>52</v>
      </c>
      <c r="G3" s="41">
        <v>0.69581943396880508</v>
      </c>
      <c r="H3" s="40">
        <v>0.30418056603119487</v>
      </c>
      <c r="J3" s="2"/>
      <c r="K3" s="36" t="str">
        <f>"SFY " &amp; $D$2 &amp; " Q1"</f>
        <v>SFY 2024 Q1</v>
      </c>
      <c r="L3" s="35" t="s">
        <v>3</v>
      </c>
      <c r="M3" s="38">
        <f>1-M4</f>
        <v>0.31599999999999995</v>
      </c>
      <c r="N3" s="23">
        <f>1-N4</f>
        <v>9.9999999999999978E-2</v>
      </c>
    </row>
    <row r="4" spans="1:15" ht="16.5" customHeight="1" x14ac:dyDescent="0.25">
      <c r="A4" s="2"/>
      <c r="B4" s="25"/>
      <c r="C4" s="2"/>
      <c r="D4" s="2"/>
      <c r="G4" s="2"/>
      <c r="I4" s="2"/>
      <c r="J4" s="2"/>
      <c r="K4" s="32"/>
      <c r="L4" s="20" t="s">
        <v>31</v>
      </c>
      <c r="M4" s="42">
        <v>0.68400000000000005</v>
      </c>
      <c r="N4" s="22">
        <v>0.9</v>
      </c>
    </row>
    <row r="5" spans="1:15" ht="26.25" x14ac:dyDescent="0.25">
      <c r="A5" s="3" t="s">
        <v>33</v>
      </c>
      <c r="B5" s="26"/>
      <c r="C5" s="4"/>
      <c r="D5" s="5" t="s">
        <v>2</v>
      </c>
      <c r="E5" s="33" t="s">
        <v>47</v>
      </c>
      <c r="F5" s="33" t="s">
        <v>46</v>
      </c>
      <c r="G5" s="33" t="s">
        <v>51</v>
      </c>
      <c r="H5" s="33" t="s">
        <v>50</v>
      </c>
      <c r="I5" s="5" t="s">
        <v>1</v>
      </c>
      <c r="L5" s="1"/>
    </row>
    <row r="6" spans="1:15" ht="15.75" x14ac:dyDescent="0.25">
      <c r="C6" s="1" t="s">
        <v>32</v>
      </c>
      <c r="D6" s="48">
        <f>+D12*0.25</f>
        <v>459000</v>
      </c>
      <c r="E6" s="48">
        <f>D6</f>
        <v>459000</v>
      </c>
      <c r="F6" s="48">
        <v>0</v>
      </c>
      <c r="G6" s="48">
        <f>ROUNDDOWN(E6/$M$3*$M$4,0)</f>
        <v>993531</v>
      </c>
      <c r="H6" s="48">
        <f>ROUNDDOWN(F6/$N$3*$N$4,0)</f>
        <v>0</v>
      </c>
      <c r="I6" s="48">
        <f>SUM(E6:H6)</f>
        <v>1452531</v>
      </c>
      <c r="K6" s="59" t="str">
        <f>"Federal Fiscal Year " &amp; $D$2</f>
        <v>Federal Fiscal Year 2024</v>
      </c>
      <c r="L6" s="60"/>
      <c r="M6" s="37" t="s">
        <v>49</v>
      </c>
      <c r="N6" s="37" t="s">
        <v>48</v>
      </c>
    </row>
    <row r="7" spans="1:15" ht="14.25" customHeight="1" x14ac:dyDescent="0.2">
      <c r="A7"/>
      <c r="B7" s="28"/>
      <c r="C7" s="1" t="s">
        <v>30</v>
      </c>
      <c r="D7" s="48">
        <f>+$D$12*0.25</f>
        <v>459000</v>
      </c>
      <c r="E7" s="48">
        <f t="shared" ref="E7:E8" si="0">D7</f>
        <v>459000</v>
      </c>
      <c r="F7" s="48">
        <v>0</v>
      </c>
      <c r="G7" s="48">
        <f>ROUNDDOWN(E7/$M$7*$M$8,0)</f>
        <v>948975</v>
      </c>
      <c r="H7" s="48">
        <f>ROUNDDOWN(F7/$N$7*$N$8,0)</f>
        <v>0</v>
      </c>
      <c r="I7" s="48">
        <f>SUM(E7:H7)</f>
        <v>1407975</v>
      </c>
      <c r="K7" s="31" t="str">
        <f>"SFY " &amp; $D$2 &amp; " Q2"</f>
        <v>SFY 2024 Q2</v>
      </c>
      <c r="L7" s="19" t="s">
        <v>3</v>
      </c>
      <c r="M7" s="38">
        <f>1-M8</f>
        <v>0.32599999999999996</v>
      </c>
      <c r="N7" s="21">
        <f>1-N8</f>
        <v>9.9999999999999978E-2</v>
      </c>
    </row>
    <row r="8" spans="1:15" ht="15" customHeight="1" x14ac:dyDescent="0.2">
      <c r="A8"/>
      <c r="B8" s="28"/>
      <c r="C8" s="1" t="s">
        <v>29</v>
      </c>
      <c r="D8" s="48">
        <f>+$D$12*0.25</f>
        <v>459000</v>
      </c>
      <c r="E8" s="48">
        <f t="shared" si="0"/>
        <v>459000</v>
      </c>
      <c r="F8" s="48">
        <v>0</v>
      </c>
      <c r="G8" s="48">
        <f>ROUNDDOWN(E8/$M$9*$M$10,0)</f>
        <v>887041</v>
      </c>
      <c r="H8" s="48">
        <f>ROUNDDOWN(F8/$N$9*$N$10,0)</f>
        <v>0</v>
      </c>
      <c r="I8" s="48">
        <f>SUM(E8:H8)</f>
        <v>1346041</v>
      </c>
      <c r="K8" s="32"/>
      <c r="L8" s="20" t="s">
        <v>31</v>
      </c>
      <c r="M8" s="39">
        <v>0.67400000000000004</v>
      </c>
      <c r="N8" s="30">
        <v>0.9</v>
      </c>
    </row>
    <row r="9" spans="1:15" ht="14.25" customHeight="1" x14ac:dyDescent="0.2">
      <c r="C9" s="1" t="s">
        <v>28</v>
      </c>
      <c r="D9" s="48">
        <f>+$D$12*0.25</f>
        <v>459000</v>
      </c>
      <c r="E9" s="48">
        <f>D9*$G$3</f>
        <v>319381.12019168155</v>
      </c>
      <c r="F9" s="48">
        <f>D9*$H$3</f>
        <v>139618.87980831845</v>
      </c>
      <c r="G9" s="48">
        <f>ROUNDDOWN(E9/$M$11*$M$12,0)</f>
        <v>617220</v>
      </c>
      <c r="H9" s="48">
        <f>ROUNDDOWN(F9/$N$11*$N$12,0)</f>
        <v>1256569</v>
      </c>
      <c r="I9" s="61">
        <f>SUM(E9:H9)</f>
        <v>2332789</v>
      </c>
      <c r="K9" s="31" t="str">
        <f>"SFY " &amp; $D$2 &amp; " Q3"</f>
        <v>SFY 2024 Q3</v>
      </c>
      <c r="L9" s="19" t="s">
        <v>3</v>
      </c>
      <c r="M9" s="38">
        <f>1-M10</f>
        <v>0.34099999999999997</v>
      </c>
      <c r="N9" s="21">
        <f>1-N10</f>
        <v>9.9999999999999978E-2</v>
      </c>
    </row>
    <row r="10" spans="1:15" ht="14.25" customHeight="1" x14ac:dyDescent="0.2">
      <c r="K10" s="32"/>
      <c r="L10" s="20" t="s">
        <v>31</v>
      </c>
      <c r="M10" s="39">
        <v>0.65900000000000003</v>
      </c>
      <c r="N10" s="30">
        <v>0.9</v>
      </c>
    </row>
    <row r="11" spans="1:15" ht="26.25" x14ac:dyDescent="0.25">
      <c r="A11" s="3" t="s">
        <v>6</v>
      </c>
      <c r="B11" s="26"/>
      <c r="C11" s="4"/>
      <c r="D11" s="15" t="s">
        <v>2</v>
      </c>
      <c r="E11" s="33" t="s">
        <v>47</v>
      </c>
      <c r="F11" s="33" t="s">
        <v>46</v>
      </c>
      <c r="G11" s="33" t="s">
        <v>51</v>
      </c>
      <c r="H11" s="33" t="s">
        <v>50</v>
      </c>
      <c r="I11" s="15" t="s">
        <v>1</v>
      </c>
      <c r="K11" s="31" t="str">
        <f>"SFY " &amp; $D$2 &amp; " Q4"</f>
        <v>SFY 2024 Q4</v>
      </c>
      <c r="L11" s="19" t="s">
        <v>3</v>
      </c>
      <c r="M11" s="38">
        <f>1-M12</f>
        <v>0.34099999999999997</v>
      </c>
      <c r="N11" s="21">
        <f>1-N12</f>
        <v>9.9999999999999978E-2</v>
      </c>
    </row>
    <row r="12" spans="1:15" ht="13.5" customHeight="1" x14ac:dyDescent="0.2">
      <c r="C12" s="1" t="s">
        <v>4</v>
      </c>
      <c r="D12" s="16">
        <f>1836000</f>
        <v>1836000</v>
      </c>
      <c r="E12" s="13">
        <f>+E6+E7+E8+E9</f>
        <v>1696381.1201916817</v>
      </c>
      <c r="F12" s="13">
        <f>+F6+F7+F8+F9</f>
        <v>139618.87980831845</v>
      </c>
      <c r="G12" s="13">
        <f>+G6+G7+G8+G9</f>
        <v>3446767</v>
      </c>
      <c r="H12" s="13">
        <f>+H6+H7+H8+H9</f>
        <v>1256569</v>
      </c>
      <c r="I12" s="13">
        <f>ROUNDDOWN(D12+H12+G12,0)</f>
        <v>6539336</v>
      </c>
      <c r="K12" s="32"/>
      <c r="L12" s="20" t="s">
        <v>31</v>
      </c>
      <c r="M12" s="39">
        <v>0.65900000000000003</v>
      </c>
      <c r="N12" s="30">
        <v>0.9</v>
      </c>
    </row>
    <row r="13" spans="1:15" ht="12.4" customHeight="1" x14ac:dyDescent="0.2"/>
    <row r="14" spans="1:15" x14ac:dyDescent="0.2">
      <c r="G14" s="4"/>
      <c r="H14" s="4"/>
      <c r="I14" s="4"/>
      <c r="J14" s="4"/>
      <c r="K14" s="4"/>
      <c r="L14" s="47"/>
      <c r="M14" s="4"/>
      <c r="N14" s="4"/>
    </row>
    <row r="15" spans="1:15" x14ac:dyDescent="0.2">
      <c r="G15" s="56" t="s">
        <v>5</v>
      </c>
      <c r="H15" s="57"/>
      <c r="I15" s="58" t="s">
        <v>7</v>
      </c>
      <c r="J15" s="58"/>
      <c r="K15" s="56" t="s">
        <v>8</v>
      </c>
      <c r="L15" s="57"/>
      <c r="M15" s="56" t="s">
        <v>9</v>
      </c>
      <c r="N15" s="57"/>
      <c r="O15" s="54" t="s">
        <v>1</v>
      </c>
    </row>
    <row r="16" spans="1:15" ht="13.5" thickBot="1" x14ac:dyDescent="0.25">
      <c r="A16" s="11" t="s">
        <v>24</v>
      </c>
      <c r="B16" s="29"/>
      <c r="C16" s="29" t="s">
        <v>44</v>
      </c>
      <c r="D16" s="11" t="s">
        <v>12</v>
      </c>
      <c r="E16" s="11" t="s">
        <v>0</v>
      </c>
      <c r="F16" s="12" t="s">
        <v>10</v>
      </c>
      <c r="G16" s="49" t="s">
        <v>49</v>
      </c>
      <c r="H16" s="51" t="s">
        <v>48</v>
      </c>
      <c r="I16" s="12" t="s">
        <v>49</v>
      </c>
      <c r="J16" s="12" t="s">
        <v>48</v>
      </c>
      <c r="K16" s="49" t="s">
        <v>49</v>
      </c>
      <c r="L16" s="51" t="s">
        <v>48</v>
      </c>
      <c r="M16" s="49" t="s">
        <v>49</v>
      </c>
      <c r="N16" s="51" t="s">
        <v>48</v>
      </c>
      <c r="O16" s="53" t="str">
        <f>O15</f>
        <v>Total</v>
      </c>
    </row>
    <row r="17" spans="1:15" x14ac:dyDescent="0.2">
      <c r="A17" s="1" t="s">
        <v>25</v>
      </c>
      <c r="B17" s="27" t="s">
        <v>34</v>
      </c>
      <c r="C17" s="27" t="s">
        <v>43</v>
      </c>
      <c r="D17" s="6" t="s">
        <v>15</v>
      </c>
      <c r="E17" s="7">
        <v>0.74450000000000005</v>
      </c>
      <c r="F17" s="13">
        <f t="shared" ref="F17:F25" si="1">ROUND(E17*$I$12,2)</f>
        <v>4868535.6500000004</v>
      </c>
      <c r="G17" s="43">
        <f t="shared" ref="G17:G25" si="2">ROUND(E17*$E$6+E17*$G$6, 2)</f>
        <v>1081409.33</v>
      </c>
      <c r="H17" s="44">
        <f t="shared" ref="H17:H25" si="3">ROUND(E17*$F$6+E17*$H$6, 2)</f>
        <v>0</v>
      </c>
      <c r="I17" s="13">
        <f t="shared" ref="I17:I25" si="4">ROUND(E17*$E$7+E17*$G$7, 2)</f>
        <v>1048237.39</v>
      </c>
      <c r="J17" s="13">
        <f t="shared" ref="J17:J25" si="5">ROUND(E17*$F$7+E17*$H$7, 2)</f>
        <v>0</v>
      </c>
      <c r="K17" s="43">
        <f t="shared" ref="K17:K25" si="6">ROUND(E17*$E$8+E17*$G$8, 2)</f>
        <v>1002127.52</v>
      </c>
      <c r="L17" s="44">
        <f t="shared" ref="L17:L25" si="7">ROUND(E17*$F$8+E17*$H$8, 2)</f>
        <v>0</v>
      </c>
      <c r="M17" s="62">
        <f t="shared" ref="M17:M25" si="8">ROUND(E17*$E$9+E17*$G$9, 2)</f>
        <v>697299.53</v>
      </c>
      <c r="N17" s="63">
        <f t="shared" ref="N17:N25" si="9">ROUND(E17*$F$9+E17*$H$9, 2)</f>
        <v>1039461.88</v>
      </c>
      <c r="O17" s="45">
        <f>SUM(G17:N17)</f>
        <v>4868535.6500000004</v>
      </c>
    </row>
    <row r="18" spans="1:15" x14ac:dyDescent="0.2">
      <c r="A18" s="1" t="s">
        <v>25</v>
      </c>
      <c r="B18" s="27" t="s">
        <v>35</v>
      </c>
      <c r="C18" s="27" t="s">
        <v>53</v>
      </c>
      <c r="D18" s="6" t="s">
        <v>16</v>
      </c>
      <c r="E18" s="7">
        <v>0.1128</v>
      </c>
      <c r="F18" s="13">
        <f t="shared" si="1"/>
        <v>737637.1</v>
      </c>
      <c r="G18" s="43">
        <f t="shared" si="2"/>
        <v>163845.5</v>
      </c>
      <c r="H18" s="44">
        <f t="shared" si="3"/>
        <v>0</v>
      </c>
      <c r="I18" s="13">
        <f t="shared" si="4"/>
        <v>158819.57999999999</v>
      </c>
      <c r="J18" s="13">
        <f t="shared" si="5"/>
        <v>0</v>
      </c>
      <c r="K18" s="43">
        <f t="shared" si="6"/>
        <v>151833.42000000001</v>
      </c>
      <c r="L18" s="44">
        <f t="shared" si="7"/>
        <v>0</v>
      </c>
      <c r="M18" s="62">
        <f t="shared" si="8"/>
        <v>105648.61</v>
      </c>
      <c r="N18" s="63">
        <f t="shared" si="9"/>
        <v>157489.99</v>
      </c>
      <c r="O18" s="45">
        <f t="shared" ref="O18:O25" si="10">SUM(G18:N18)</f>
        <v>737637.1</v>
      </c>
    </row>
    <row r="19" spans="1:15" x14ac:dyDescent="0.2">
      <c r="A19" s="1" t="s">
        <v>25</v>
      </c>
      <c r="B19" s="27" t="s">
        <v>36</v>
      </c>
      <c r="C19" s="27" t="s">
        <v>54</v>
      </c>
      <c r="D19" s="6" t="s">
        <v>17</v>
      </c>
      <c r="E19" s="7">
        <v>2.0999999999999999E-3</v>
      </c>
      <c r="F19" s="13">
        <f t="shared" si="1"/>
        <v>13732.61</v>
      </c>
      <c r="G19" s="43">
        <f t="shared" si="2"/>
        <v>3050.32</v>
      </c>
      <c r="H19" s="44">
        <f t="shared" si="3"/>
        <v>0</v>
      </c>
      <c r="I19" s="13">
        <f t="shared" si="4"/>
        <v>2956.75</v>
      </c>
      <c r="J19" s="13">
        <f t="shared" si="5"/>
        <v>0</v>
      </c>
      <c r="K19" s="43">
        <f t="shared" si="6"/>
        <v>2826.69</v>
      </c>
      <c r="L19" s="44">
        <f t="shared" si="7"/>
        <v>0</v>
      </c>
      <c r="M19" s="62">
        <f t="shared" si="8"/>
        <v>1966.86</v>
      </c>
      <c r="N19" s="63">
        <f t="shared" si="9"/>
        <v>2931.99</v>
      </c>
      <c r="O19" s="45">
        <f t="shared" si="10"/>
        <v>13732.61</v>
      </c>
    </row>
    <row r="20" spans="1:15" x14ac:dyDescent="0.2">
      <c r="A20" s="1" t="s">
        <v>25</v>
      </c>
      <c r="B20" s="27" t="s">
        <v>37</v>
      </c>
      <c r="C20" s="27" t="s">
        <v>55</v>
      </c>
      <c r="D20" s="6" t="s">
        <v>18</v>
      </c>
      <c r="E20" s="7">
        <v>8.2299999999999998E-2</v>
      </c>
      <c r="F20" s="13">
        <f t="shared" si="1"/>
        <v>538187.35</v>
      </c>
      <c r="G20" s="43">
        <f t="shared" si="2"/>
        <v>119543.3</v>
      </c>
      <c r="H20" s="44">
        <f t="shared" si="3"/>
        <v>0</v>
      </c>
      <c r="I20" s="13">
        <f t="shared" si="4"/>
        <v>115876.34</v>
      </c>
      <c r="J20" s="13">
        <f t="shared" si="5"/>
        <v>0</v>
      </c>
      <c r="K20" s="43">
        <f t="shared" si="6"/>
        <v>110779.17</v>
      </c>
      <c r="L20" s="44">
        <f t="shared" si="7"/>
        <v>0</v>
      </c>
      <c r="M20" s="62">
        <f t="shared" si="8"/>
        <v>77082.27</v>
      </c>
      <c r="N20" s="63">
        <f t="shared" si="9"/>
        <v>114906.26</v>
      </c>
      <c r="O20" s="45">
        <f t="shared" si="10"/>
        <v>538187.34</v>
      </c>
    </row>
    <row r="21" spans="1:15" x14ac:dyDescent="0.2">
      <c r="A21" s="1" t="s">
        <v>27</v>
      </c>
      <c r="B21" s="27" t="s">
        <v>38</v>
      </c>
      <c r="C21" s="27" t="s">
        <v>56</v>
      </c>
      <c r="D21" s="6" t="s">
        <v>19</v>
      </c>
      <c r="E21" s="7">
        <v>2.69E-2</v>
      </c>
      <c r="F21" s="13">
        <f t="shared" si="1"/>
        <v>175908.14</v>
      </c>
      <c r="G21" s="43">
        <f t="shared" si="2"/>
        <v>39073.08</v>
      </c>
      <c r="H21" s="44">
        <f t="shared" si="3"/>
        <v>0</v>
      </c>
      <c r="I21" s="13">
        <f t="shared" si="4"/>
        <v>37874.53</v>
      </c>
      <c r="J21" s="13">
        <f t="shared" si="5"/>
        <v>0</v>
      </c>
      <c r="K21" s="43">
        <f t="shared" si="6"/>
        <v>36208.5</v>
      </c>
      <c r="L21" s="44">
        <f t="shared" si="7"/>
        <v>0</v>
      </c>
      <c r="M21" s="62">
        <f t="shared" si="8"/>
        <v>25194.57</v>
      </c>
      <c r="N21" s="63">
        <f t="shared" si="9"/>
        <v>37557.449999999997</v>
      </c>
      <c r="O21" s="45">
        <f t="shared" si="10"/>
        <v>175908.13</v>
      </c>
    </row>
    <row r="22" spans="1:15" x14ac:dyDescent="0.2">
      <c r="A22" s="1" t="s">
        <v>26</v>
      </c>
      <c r="B22" s="27" t="s">
        <v>39</v>
      </c>
      <c r="C22" s="27" t="s">
        <v>57</v>
      </c>
      <c r="D22" s="6" t="s">
        <v>20</v>
      </c>
      <c r="E22" s="7">
        <v>1.9599999999999999E-2</v>
      </c>
      <c r="F22" s="13">
        <f t="shared" si="1"/>
        <v>128170.99</v>
      </c>
      <c r="G22" s="43">
        <f t="shared" si="2"/>
        <v>28469.61</v>
      </c>
      <c r="H22" s="44">
        <f t="shared" si="3"/>
        <v>0</v>
      </c>
      <c r="I22" s="13">
        <f t="shared" si="4"/>
        <v>27596.31</v>
      </c>
      <c r="J22" s="13">
        <f t="shared" si="5"/>
        <v>0</v>
      </c>
      <c r="K22" s="43">
        <f t="shared" si="6"/>
        <v>26382.400000000001</v>
      </c>
      <c r="L22" s="44">
        <f t="shared" si="7"/>
        <v>0</v>
      </c>
      <c r="M22" s="62">
        <f t="shared" si="8"/>
        <v>18357.38</v>
      </c>
      <c r="N22" s="63">
        <f t="shared" si="9"/>
        <v>27365.279999999999</v>
      </c>
      <c r="O22" s="45">
        <f t="shared" si="10"/>
        <v>128170.98000000001</v>
      </c>
    </row>
    <row r="23" spans="1:15" x14ac:dyDescent="0.2">
      <c r="A23" s="1" t="s">
        <v>25</v>
      </c>
      <c r="B23" s="27" t="s">
        <v>40</v>
      </c>
      <c r="C23" s="27" t="s">
        <v>58</v>
      </c>
      <c r="D23" s="6" t="s">
        <v>21</v>
      </c>
      <c r="E23" s="7">
        <v>5.5999999999999999E-3</v>
      </c>
      <c r="F23" s="13">
        <f t="shared" si="1"/>
        <v>36620.28</v>
      </c>
      <c r="G23" s="43">
        <f t="shared" si="2"/>
        <v>8134.17</v>
      </c>
      <c r="H23" s="44">
        <f t="shared" si="3"/>
        <v>0</v>
      </c>
      <c r="I23" s="13">
        <f t="shared" si="4"/>
        <v>7884.66</v>
      </c>
      <c r="J23" s="13">
        <f t="shared" si="5"/>
        <v>0</v>
      </c>
      <c r="K23" s="43">
        <f t="shared" si="6"/>
        <v>7537.83</v>
      </c>
      <c r="L23" s="44">
        <f t="shared" si="7"/>
        <v>0</v>
      </c>
      <c r="M23" s="62">
        <f t="shared" si="8"/>
        <v>5244.97</v>
      </c>
      <c r="N23" s="63">
        <f t="shared" si="9"/>
        <v>7818.65</v>
      </c>
      <c r="O23" s="45">
        <f t="shared" si="10"/>
        <v>36620.28</v>
      </c>
    </row>
    <row r="24" spans="1:15" x14ac:dyDescent="0.2">
      <c r="A24" s="1" t="s">
        <v>25</v>
      </c>
      <c r="B24" s="27" t="s">
        <v>41</v>
      </c>
      <c r="C24" s="28" t="s">
        <v>59</v>
      </c>
      <c r="D24" s="6" t="s">
        <v>22</v>
      </c>
      <c r="E24" s="7">
        <v>1.1000000000000001E-3</v>
      </c>
      <c r="F24" s="13">
        <f t="shared" si="1"/>
        <v>7193.27</v>
      </c>
      <c r="G24" s="43">
        <f t="shared" si="2"/>
        <v>1597.78</v>
      </c>
      <c r="H24" s="44">
        <f t="shared" si="3"/>
        <v>0</v>
      </c>
      <c r="I24" s="13">
        <f t="shared" si="4"/>
        <v>1548.77</v>
      </c>
      <c r="J24" s="13">
        <f t="shared" si="5"/>
        <v>0</v>
      </c>
      <c r="K24" s="43">
        <f t="shared" si="6"/>
        <v>1480.65</v>
      </c>
      <c r="L24" s="44">
        <f t="shared" si="7"/>
        <v>0</v>
      </c>
      <c r="M24" s="62">
        <f t="shared" si="8"/>
        <v>1030.26</v>
      </c>
      <c r="N24" s="63">
        <f t="shared" si="9"/>
        <v>1535.81</v>
      </c>
      <c r="O24" s="45">
        <f t="shared" si="10"/>
        <v>7193.27</v>
      </c>
    </row>
    <row r="25" spans="1:15" x14ac:dyDescent="0.2">
      <c r="A25" s="1" t="s">
        <v>25</v>
      </c>
      <c r="B25" s="27" t="s">
        <v>42</v>
      </c>
      <c r="C25" s="27" t="s">
        <v>45</v>
      </c>
      <c r="D25" s="1" t="s">
        <v>23</v>
      </c>
      <c r="E25" s="7">
        <v>5.1000000000000004E-3</v>
      </c>
      <c r="F25" s="13">
        <f t="shared" si="1"/>
        <v>33350.61</v>
      </c>
      <c r="G25" s="43">
        <f t="shared" si="2"/>
        <v>7407.91</v>
      </c>
      <c r="H25" s="44">
        <f t="shared" si="3"/>
        <v>0</v>
      </c>
      <c r="I25" s="13">
        <f t="shared" si="4"/>
        <v>7180.67</v>
      </c>
      <c r="J25" s="13">
        <f t="shared" si="5"/>
        <v>0</v>
      </c>
      <c r="K25" s="43">
        <f t="shared" si="6"/>
        <v>6864.81</v>
      </c>
      <c r="L25" s="44">
        <f t="shared" si="7"/>
        <v>0</v>
      </c>
      <c r="M25" s="62">
        <f t="shared" si="8"/>
        <v>4776.67</v>
      </c>
      <c r="N25" s="63">
        <f t="shared" si="9"/>
        <v>7120.56</v>
      </c>
      <c r="O25" s="45">
        <f t="shared" si="10"/>
        <v>33350.619999999995</v>
      </c>
    </row>
    <row r="26" spans="1:15" ht="13.5" thickBot="1" x14ac:dyDescent="0.25">
      <c r="D26" s="8" t="s">
        <v>11</v>
      </c>
      <c r="E26" s="9">
        <f t="shared" ref="E26:N26" si="11">SUM(E17:E25)</f>
        <v>1.0000000000000002</v>
      </c>
      <c r="F26" s="14">
        <f t="shared" si="11"/>
        <v>6539336</v>
      </c>
      <c r="G26" s="50">
        <f t="shared" si="11"/>
        <v>1452531.0000000002</v>
      </c>
      <c r="H26" s="52">
        <f t="shared" si="11"/>
        <v>0</v>
      </c>
      <c r="I26" s="14">
        <f t="shared" si="11"/>
        <v>1407975</v>
      </c>
      <c r="J26" s="14">
        <f t="shared" si="11"/>
        <v>0</v>
      </c>
      <c r="K26" s="50">
        <f t="shared" si="11"/>
        <v>1346040.9899999998</v>
      </c>
      <c r="L26" s="52">
        <f t="shared" si="11"/>
        <v>0</v>
      </c>
      <c r="M26" s="64">
        <f t="shared" si="11"/>
        <v>936601.12</v>
      </c>
      <c r="N26" s="65">
        <f t="shared" si="11"/>
        <v>1396187.87</v>
      </c>
      <c r="O26" s="46">
        <f>SUM(G26:N26)</f>
        <v>6539335.9800000004</v>
      </c>
    </row>
    <row r="27" spans="1:15" ht="13.5" thickTop="1" x14ac:dyDescent="0.2">
      <c r="D27" s="6"/>
      <c r="E27" s="6"/>
      <c r="F27" s="6"/>
      <c r="G27" s="6"/>
      <c r="H27" s="6"/>
      <c r="I27" s="10"/>
      <c r="J27" s="6"/>
    </row>
  </sheetData>
  <mergeCells count="7">
    <mergeCell ref="A1:J1"/>
    <mergeCell ref="G15:H15"/>
    <mergeCell ref="I15:J15"/>
    <mergeCell ref="K15:L15"/>
    <mergeCell ref="M15:N15"/>
    <mergeCell ref="K2:L2"/>
    <mergeCell ref="K6:L6"/>
  </mergeCells>
  <printOptions horizontalCentered="1" verticalCentered="1"/>
  <pageMargins left="0.85" right="0.75" top="0.75" bottom="0.75" header="0.5" footer="0.5"/>
  <pageSetup scale="97" orientation="landscape" r:id="rId1"/>
  <headerFooter alignWithMargins="0">
    <oddFooter>&amp;L&amp;8&amp;Z&amp;F&amp;R&amp;"Times New Roman,Regular"&amp;8Page &amp;P of &amp;N
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667296-631B-4FD2-8AB3-69D862BA94DF}"/>
</file>

<file path=customXml/itemProps2.xml><?xml version="1.0" encoding="utf-8"?>
<ds:datastoreItem xmlns:ds="http://schemas.openxmlformats.org/officeDocument/2006/customXml" ds:itemID="{2D676D0E-312E-44A3-B6F6-52F830E3A7B8}"/>
</file>

<file path=customXml/itemProps3.xml><?xml version="1.0" encoding="utf-8"?>
<ds:datastoreItem xmlns:ds="http://schemas.openxmlformats.org/officeDocument/2006/customXml" ds:itemID="{85C13186-4E6A-4267-BBCC-8355EE920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</dc:creator>
  <cp:lastModifiedBy>Michael Ashby</cp:lastModifiedBy>
  <cp:lastPrinted>2014-01-02T18:05:04Z</cp:lastPrinted>
  <dcterms:created xsi:type="dcterms:W3CDTF">2001-01-11T18:11:23Z</dcterms:created>
  <dcterms:modified xsi:type="dcterms:W3CDTF">2024-05-16T18:58:32Z</dcterms:modified>
</cp:coreProperties>
</file>